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fileserver\banpara\nubio\_SUBNUCLEO DE BIOECONOMIA\2. MICROCRÉDITO BANPARABIO\2.DOCUMENTOS DE ACESSO A LINHA\VERSÕES LSE\"/>
    </mc:Choice>
  </mc:AlternateContent>
  <xr:revisionPtr revIDLastSave="0" documentId="8_{EE398570-1656-42CC-86AE-A8570970629E}" xr6:coauthVersionLast="47" xr6:coauthVersionMax="47" xr10:uidLastSave="{00000000-0000-0000-0000-000000000000}"/>
  <bookViews>
    <workbookView xWindow="-120" yWindow="-120" windowWidth="29040" windowHeight="15840" activeTab="1" xr2:uid="{DBA76075-5131-49C6-9A60-4A9D383D8EAF}"/>
  </bookViews>
  <sheets>
    <sheet name="Instruções" sheetId="6" r:id="rId1"/>
    <sheet name="Levantamento" sheetId="1" r:id="rId2"/>
    <sheet name="Dados" sheetId="2" state="hidden" r:id="rId3"/>
  </sheets>
  <definedNames>
    <definedName name="_xlnm.Print_Area" localSheetId="1">Levantamento!$B$1:$I$353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I180" i="1"/>
  <c r="H163" i="1"/>
  <c r="B314" i="1"/>
  <c r="I218" i="1"/>
  <c r="I217" i="1"/>
  <c r="I216" i="1"/>
  <c r="B328" i="1" l="1"/>
  <c r="B48" i="1"/>
  <c r="B36" i="1"/>
  <c r="H74" i="1"/>
  <c r="H75" i="1" s="1"/>
  <c r="H162" i="1"/>
  <c r="H167" i="1" s="1"/>
  <c r="H168" i="1" s="1"/>
  <c r="H327" i="1"/>
  <c r="G114" i="1"/>
  <c r="B114" i="1"/>
  <c r="D248" i="1"/>
  <c r="H308" i="1" s="1"/>
  <c r="H328" i="1"/>
  <c r="B331" i="1" s="1"/>
  <c r="H100" i="1"/>
  <c r="H108" i="1"/>
  <c r="H113" i="1"/>
  <c r="H135" i="1"/>
  <c r="H61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81" i="1"/>
  <c r="I182" i="1"/>
  <c r="I183" i="1"/>
  <c r="I184" i="1"/>
  <c r="I185" i="1"/>
  <c r="I186" i="1"/>
  <c r="I187" i="1"/>
  <c r="I188" i="1"/>
  <c r="I189" i="1"/>
  <c r="I190" i="1"/>
  <c r="I179" i="1"/>
  <c r="H156" i="1"/>
  <c r="H153" i="1"/>
  <c r="H154" i="1"/>
  <c r="H155" i="1"/>
  <c r="H136" i="1"/>
  <c r="H137" i="1"/>
  <c r="H138" i="1"/>
  <c r="H139" i="1"/>
  <c r="H140" i="1"/>
  <c r="H141" i="1"/>
  <c r="H142" i="1"/>
  <c r="H143" i="1"/>
  <c r="B143" i="1"/>
  <c r="B136" i="1"/>
  <c r="B137" i="1"/>
  <c r="B138" i="1"/>
  <c r="B139" i="1"/>
  <c r="B140" i="1"/>
  <c r="B141" i="1"/>
  <c r="B142" i="1"/>
  <c r="B135" i="1"/>
  <c r="H33" i="1"/>
  <c r="H171" i="1" l="1"/>
  <c r="H326" i="1" s="1"/>
  <c r="C312" i="1"/>
  <c r="G312" i="1" s="1"/>
  <c r="H145" i="1"/>
  <c r="H325" i="1" s="1"/>
  <c r="H303" i="1"/>
  <c r="H299" i="1"/>
  <c r="H301" i="1"/>
  <c r="H297" i="1"/>
  <c r="H144" i="1"/>
  <c r="H157" i="1"/>
  <c r="H170" i="1" s="1"/>
  <c r="I206" i="1"/>
  <c r="I191" i="1"/>
  <c r="I207" i="1" l="1"/>
  <c r="I211" i="1" s="1"/>
  <c r="H307" i="1"/>
  <c r="I312" i="1"/>
  <c r="E312" i="1"/>
  <c r="H310" i="1"/>
  <c r="H311" i="1"/>
  <c r="H172" i="1"/>
  <c r="B173" i="1" s="1"/>
  <c r="H146" i="1"/>
  <c r="B147" i="1" s="1"/>
  <c r="B335" i="1"/>
  <c r="H294" i="1"/>
  <c r="B336" i="1"/>
  <c r="H295" i="1"/>
  <c r="F17" i="1" l="1"/>
  <c r="H324" i="1"/>
  <c r="B334" i="1" s="1"/>
  <c r="H17" i="1"/>
  <c r="B18" i="1" s="1"/>
  <c r="H323" i="1"/>
  <c r="B333" i="1" s="1"/>
  <c r="H296" i="1"/>
  <c r="H298" i="1" s="1"/>
  <c r="H300" i="1" s="1"/>
  <c r="H305" i="1" s="1"/>
  <c r="H320" i="1" l="1"/>
  <c r="H309" i="1" l="1"/>
  <c r="H302" i="1"/>
  <c r="H304" i="1" s="1"/>
  <c r="H321" i="1" s="1"/>
  <c r="H322" i="1" l="1"/>
</calcChain>
</file>

<file path=xl/sharedStrings.xml><?xml version="1.0" encoding="utf-8"?>
<sst xmlns="http://schemas.openxmlformats.org/spreadsheetml/2006/main" count="485" uniqueCount="401">
  <si>
    <t>1. DADOS DO CLIENTE</t>
  </si>
  <si>
    <t>CPF:</t>
  </si>
  <si>
    <t>2. IMOVEL RURAL</t>
  </si>
  <si>
    <t>Tipo:</t>
  </si>
  <si>
    <t>3. RENDA/GASTO FAMILIAR</t>
  </si>
  <si>
    <t>Idade</t>
  </si>
  <si>
    <t>Fonte Pagadora</t>
  </si>
  <si>
    <t>Gasto Familiar Mensal</t>
  </si>
  <si>
    <t>Valor</t>
  </si>
  <si>
    <t>Alimentação, Higiene e Limpeza</t>
  </si>
  <si>
    <t>Saúde (remédios, médicos, plano de saúde)</t>
  </si>
  <si>
    <t>Educação</t>
  </si>
  <si>
    <t>Vestuário</t>
  </si>
  <si>
    <t>Aluguel, Condomínio, Prestação da Casa Própria</t>
  </si>
  <si>
    <t>Água, Luz, Telefone e Gás</t>
  </si>
  <si>
    <t>Transporte</t>
  </si>
  <si>
    <t>Pagamento de dívidas</t>
  </si>
  <si>
    <t>Lazer</t>
  </si>
  <si>
    <t>Outros</t>
  </si>
  <si>
    <t>4. DADOS DO EMPREENDIMENTO</t>
  </si>
  <si>
    <t>4.1. INFORMAÇÕES DO EMPREENDIMENTO</t>
  </si>
  <si>
    <t>4.2. SITUAÇÃO PATRIMONIAL DO EMPREENDIMENTO</t>
  </si>
  <si>
    <t>Ativo Circulante</t>
  </si>
  <si>
    <t>Contas a Receber</t>
  </si>
  <si>
    <t>Outros Créditos a Receber</t>
  </si>
  <si>
    <t>Ativo Fixo</t>
  </si>
  <si>
    <t>Terrenos</t>
  </si>
  <si>
    <t>Imóveis</t>
  </si>
  <si>
    <t>Máquinas e/ou Equipamentos</t>
  </si>
  <si>
    <t>Veículos</t>
  </si>
  <si>
    <t>Móveis e Utensílios</t>
  </si>
  <si>
    <t>Passivo Circulante</t>
  </si>
  <si>
    <t>Valor Mensal</t>
  </si>
  <si>
    <t>Fornecedores</t>
  </si>
  <si>
    <t>Empréstimos e Financiamentos</t>
  </si>
  <si>
    <t>Impostos</t>
  </si>
  <si>
    <t>5. EMPREENDIMENTO - OUTROS</t>
  </si>
  <si>
    <t>Operação</t>
  </si>
  <si>
    <t>Venda</t>
  </si>
  <si>
    <t>Quadro de Pessoal</t>
  </si>
  <si>
    <t>Quantidade</t>
  </si>
  <si>
    <t>Salários</t>
  </si>
  <si>
    <t>Tipo</t>
  </si>
  <si>
    <t>Familiares</t>
  </si>
  <si>
    <t>Com Carteira Assinada</t>
  </si>
  <si>
    <t>Sem Carteira Assinada</t>
  </si>
  <si>
    <t>Não Familiares</t>
  </si>
  <si>
    <t>Empregados Sem Remuneração</t>
  </si>
  <si>
    <t>Unidade</t>
  </si>
  <si>
    <t>Preço Unitário</t>
  </si>
  <si>
    <t>Total</t>
  </si>
  <si>
    <t>Matérias Primas</t>
  </si>
  <si>
    <t>Mercadorias</t>
  </si>
  <si>
    <t>Embalagens</t>
  </si>
  <si>
    <t>Serviços</t>
  </si>
  <si>
    <t>Aluguel e Taxa de Condomínio</t>
  </si>
  <si>
    <t>Água, Luz e Telefone</t>
  </si>
  <si>
    <t>Veículo, Transporte</t>
  </si>
  <si>
    <t>Manutenção e Limpeza</t>
  </si>
  <si>
    <t>Descrição</t>
  </si>
  <si>
    <t>Vlr Total</t>
  </si>
  <si>
    <t>Custeio</t>
  </si>
  <si>
    <t>Carência (até 12 meses):</t>
  </si>
  <si>
    <t>Periodicidade:</t>
  </si>
  <si>
    <t>Tipo de Aval:</t>
  </si>
  <si>
    <t>Questionário Básico:</t>
  </si>
  <si>
    <t>N°</t>
  </si>
  <si>
    <t>Participantes da Renda</t>
  </si>
  <si>
    <t>Parentesco</t>
  </si>
  <si>
    <t>Área Total (ha)</t>
  </si>
  <si>
    <t>Latitude (GMS)</t>
  </si>
  <si>
    <t>Altitude (m)</t>
  </si>
  <si>
    <t>Status CAR</t>
  </si>
  <si>
    <t>UF</t>
  </si>
  <si>
    <t>Municipio</t>
  </si>
  <si>
    <t>CEP</t>
  </si>
  <si>
    <t>Bairro</t>
  </si>
  <si>
    <t>Nome do Imóvel</t>
  </si>
  <si>
    <t>N° CAR</t>
  </si>
  <si>
    <t>Endereço</t>
  </si>
  <si>
    <t>Imprevistos (20%)</t>
  </si>
  <si>
    <t>Nome Completo</t>
  </si>
  <si>
    <t>Segmento</t>
  </si>
  <si>
    <t>Pesca</t>
  </si>
  <si>
    <t>Turismo</t>
  </si>
  <si>
    <t>Exploração Familiar</t>
  </si>
  <si>
    <t>Produtos da Atividade</t>
  </si>
  <si>
    <t>Abacaxi</t>
  </si>
  <si>
    <t>Açai</t>
  </si>
  <si>
    <t>Andiroba</t>
  </si>
  <si>
    <t>Arroz</t>
  </si>
  <si>
    <t>Artesanato</t>
  </si>
  <si>
    <t>Avicultura</t>
  </si>
  <si>
    <t>Babaçu</t>
  </si>
  <si>
    <t>Bacaba</t>
  </si>
  <si>
    <t>Banana</t>
  </si>
  <si>
    <t>Baru</t>
  </si>
  <si>
    <t>Biribá</t>
  </si>
  <si>
    <t>Buriti</t>
  </si>
  <si>
    <t>Cacau</t>
  </si>
  <si>
    <t>Cacau Extrafivo</t>
  </si>
  <si>
    <t>Café</t>
  </si>
  <si>
    <t>Cajá</t>
  </si>
  <si>
    <t>Caju</t>
  </si>
  <si>
    <t>Carcinicultura</t>
  </si>
  <si>
    <t>Castanha do Brasil</t>
  </si>
  <si>
    <t>Castanha-do-Pará</t>
  </si>
  <si>
    <t>Cedro</t>
  </si>
  <si>
    <t>Cupuaçu</t>
  </si>
  <si>
    <t>Dendê</t>
  </si>
  <si>
    <t>Feijão</t>
  </si>
  <si>
    <t>Goiaba</t>
  </si>
  <si>
    <t>Graviola</t>
  </si>
  <si>
    <t>Hortaliças</t>
  </si>
  <si>
    <t>Jabuticaba</t>
  </si>
  <si>
    <t>Juçara</t>
  </si>
  <si>
    <t>Macaíba</t>
  </si>
  <si>
    <t>Mandioca</t>
  </si>
  <si>
    <t>Mangaba</t>
  </si>
  <si>
    <t>Maracujá</t>
  </si>
  <si>
    <t>Milho</t>
  </si>
  <si>
    <t>Miriti</t>
  </si>
  <si>
    <t>Mogno</t>
  </si>
  <si>
    <t>Murumuru</t>
  </si>
  <si>
    <t>Pecuária Corte</t>
  </si>
  <si>
    <t>Pecuária Leite</t>
  </si>
  <si>
    <t>Peçul</t>
  </si>
  <si>
    <t>Pimenta-do-reino</t>
  </si>
  <si>
    <t>Piaçava</t>
  </si>
  <si>
    <t>Pinhão</t>
  </si>
  <si>
    <t>Pirarucu de Manejo</t>
  </si>
  <si>
    <t>Pitanga</t>
  </si>
  <si>
    <t>Piscicultura</t>
  </si>
  <si>
    <t>Pupunha</t>
  </si>
  <si>
    <t>Soja</t>
  </si>
  <si>
    <t>Suinocultura</t>
  </si>
  <si>
    <t>Taperebá</t>
  </si>
  <si>
    <t>Tomate</t>
  </si>
  <si>
    <t>Tucumã</t>
  </si>
  <si>
    <t>Umbu</t>
  </si>
  <si>
    <t>Urucu</t>
  </si>
  <si>
    <t>Boracha Natural</t>
  </si>
  <si>
    <t>Estruturação</t>
  </si>
  <si>
    <t>Legenda:
Sobrevivência: São empreendimentos cujos ganhos são para o sustento da família;
Acumulação simples: São empreendimentos cujos ganhos são para o sustento da família e uma sobra para investir no negócio;
Acumulação ampliada: São empreendimentos mais estruturados que conseguem reinvestir boa parte dos ganhos no negócio.</t>
  </si>
  <si>
    <t>Mel</t>
  </si>
  <si>
    <t>Foi identificada alguma situação de ilegalidade?</t>
  </si>
  <si>
    <t>N° CPF</t>
  </si>
  <si>
    <t>N° CAF</t>
  </si>
  <si>
    <t>Tipo de Moradia</t>
  </si>
  <si>
    <t>Categoria</t>
  </si>
  <si>
    <t>Estado Civil</t>
  </si>
  <si>
    <t>Nome do Cônjuge</t>
  </si>
  <si>
    <t>CPF do (a) cônjuge</t>
  </si>
  <si>
    <t>Estoques (matérias-primas, produtos, mercadoria, rebanho existente)</t>
  </si>
  <si>
    <t>5.1 CONDIÇÕES DE COMERCIALIZAÇÃO</t>
  </si>
  <si>
    <t>Á prazo (%)</t>
  </si>
  <si>
    <t>Á Vista (%)</t>
  </si>
  <si>
    <t xml:space="preserve">Compra </t>
  </si>
  <si>
    <t>5.2 QUADRO DE PESSOA DO EMPREENDIMENTO</t>
  </si>
  <si>
    <t>Situação</t>
  </si>
  <si>
    <t>Rendas da UFPA</t>
  </si>
  <si>
    <t>Origem Rendimento</t>
  </si>
  <si>
    <t>Tipo de Renda</t>
  </si>
  <si>
    <t>Produto</t>
  </si>
  <si>
    <t>Valor (R$)</t>
  </si>
  <si>
    <t>Dentro Estabelecimento</t>
  </si>
  <si>
    <t>Agroindústria</t>
  </si>
  <si>
    <t>Lavouras Permanentes</t>
  </si>
  <si>
    <t>Lavouras Temporárias</t>
  </si>
  <si>
    <t>Maricultura e Aquicultura</t>
  </si>
  <si>
    <t>Produção Animal</t>
  </si>
  <si>
    <t>Produtos Especiais</t>
  </si>
  <si>
    <t>Sementes e Mudas</t>
  </si>
  <si>
    <t>Silvicultura e Extrativismo</t>
  </si>
  <si>
    <t>Sociobiodiversidade</t>
  </si>
  <si>
    <t>Turismo e Artesanato</t>
  </si>
  <si>
    <t>Qtd</t>
  </si>
  <si>
    <t xml:space="preserve">Mil Pés   </t>
  </si>
  <si>
    <t xml:space="preserve">ha        </t>
  </si>
  <si>
    <t xml:space="preserve">t         </t>
  </si>
  <si>
    <t xml:space="preserve">Mil Mudas </t>
  </si>
  <si>
    <t xml:space="preserve">kg        </t>
  </si>
  <si>
    <t>Mil Dúzias</t>
  </si>
  <si>
    <t xml:space="preserve">m2        </t>
  </si>
  <si>
    <t xml:space="preserve">m3        </t>
  </si>
  <si>
    <t xml:space="preserve">Maço      </t>
  </si>
  <si>
    <t xml:space="preserve">Pés       </t>
  </si>
  <si>
    <t xml:space="preserve">Mil Unid  </t>
  </si>
  <si>
    <t xml:space="preserve">Unidade   </t>
  </si>
  <si>
    <t xml:space="preserve">hl        </t>
  </si>
  <si>
    <t xml:space="preserve">l         </t>
  </si>
  <si>
    <t xml:space="preserve">Gal       </t>
  </si>
  <si>
    <t xml:space="preserve">Lata      </t>
  </si>
  <si>
    <t xml:space="preserve">Caixa     </t>
  </si>
  <si>
    <t xml:space="preserve">Pacote    </t>
  </si>
  <si>
    <t xml:space="preserve">Arroba    </t>
  </si>
  <si>
    <t xml:space="preserve">Cabeça    </t>
  </si>
  <si>
    <t xml:space="preserve">Mil Cab   </t>
  </si>
  <si>
    <t>Mil Litros</t>
  </si>
  <si>
    <t xml:space="preserve">garrafa   </t>
  </si>
  <si>
    <t xml:space="preserve">Dz        </t>
  </si>
  <si>
    <t xml:space="preserve">m3 tanque </t>
  </si>
  <si>
    <t xml:space="preserve">Sc        </t>
  </si>
  <si>
    <t xml:space="preserve">KGpv      </t>
  </si>
  <si>
    <t xml:space="preserve">Mil M2 av </t>
  </si>
  <si>
    <t xml:space="preserve">Mil Aves  </t>
  </si>
  <si>
    <t xml:space="preserve">QTD       </t>
  </si>
  <si>
    <t xml:space="preserve">Aves      </t>
  </si>
  <si>
    <t xml:space="preserve">ha (agua) </t>
  </si>
  <si>
    <t xml:space="preserve">UA        </t>
  </si>
  <si>
    <t>Vlr. Total</t>
  </si>
  <si>
    <t>Custos Variáveis</t>
  </si>
  <si>
    <t>Preço Unit.</t>
  </si>
  <si>
    <t>Custos fixos</t>
  </si>
  <si>
    <t>Vlr Unit.</t>
  </si>
  <si>
    <t>Investimento</t>
  </si>
  <si>
    <t>Subtotal</t>
  </si>
  <si>
    <t>Taxa de Elaboração</t>
  </si>
  <si>
    <t>Taxa de Assistência</t>
  </si>
  <si>
    <t>Total do Orçamento</t>
  </si>
  <si>
    <t>Quantidade de parcelas (máximo de 36):</t>
  </si>
  <si>
    <t>Prazo</t>
  </si>
  <si>
    <t>Periodicidade</t>
  </si>
  <si>
    <t>Mensal</t>
  </si>
  <si>
    <t>Bimestral</t>
  </si>
  <si>
    <t>Trimestral</t>
  </si>
  <si>
    <t>Semestral</t>
  </si>
  <si>
    <t>Anual</t>
  </si>
  <si>
    <t>Novo</t>
  </si>
  <si>
    <t>Renovação</t>
  </si>
  <si>
    <t>Aval</t>
  </si>
  <si>
    <t>Terceiros</t>
  </si>
  <si>
    <t>Solidário</t>
  </si>
  <si>
    <t>Renda Mensal:</t>
  </si>
  <si>
    <t>Avalista 1:</t>
  </si>
  <si>
    <t>Avalista 2:</t>
  </si>
  <si>
    <t>Avalista 3:</t>
  </si>
  <si>
    <t>Avalista 4:</t>
  </si>
  <si>
    <t>Cônjuge (se aplicável):</t>
  </si>
  <si>
    <t>Renda Total</t>
  </si>
  <si>
    <t>Tipo de projetista:</t>
  </si>
  <si>
    <t>Representante:</t>
  </si>
  <si>
    <t>O valor solicitado do financiamento está de acordo com o valor de mercado e necessidades do empreendimento?</t>
  </si>
  <si>
    <t>A atividade do empreendedor pode causar degradação ao meio ambiente?</t>
  </si>
  <si>
    <t>Os documentos necessários para contratação da operação foram anexados ao processo?</t>
  </si>
  <si>
    <t>O empreendedor possui experiência na atividade?</t>
  </si>
  <si>
    <t>O empreendedor possui Embargo na área do empreendimento?</t>
  </si>
  <si>
    <t>O empreendedor possui débito junto ao Ibama?</t>
  </si>
  <si>
    <t>O CAR (Cadastro Ambiental Rural) do imóvel rural objeto de financiamento está regular?</t>
  </si>
  <si>
    <t>A Localização do empreendimento permite a expansão da sua atividade?</t>
  </si>
  <si>
    <t>Foi observada alguma restrição ambiental para execução dessa atividade?</t>
  </si>
  <si>
    <t>Existe risco de utilização de trabalho infantil na execução nessa atividade?</t>
  </si>
  <si>
    <t>A infraestrutura de armazenamento e escoamento da produção disponível é boa?</t>
  </si>
  <si>
    <t>O valor da receita mensal da LSE está coerente com a renda da DAP ou CAF do cliente?</t>
  </si>
  <si>
    <t>Condição Sicar</t>
  </si>
  <si>
    <t>% Sobreposição</t>
  </si>
  <si>
    <t>Total do Orçamento - Incluindo assistência e Elaboração</t>
  </si>
  <si>
    <t>6.1. RECEITA OPERACIONAL - MENSAL</t>
  </si>
  <si>
    <t>Resultado Operacional</t>
  </si>
  <si>
    <t>Resultado</t>
  </si>
  <si>
    <t>Custos Variáveis total do Período</t>
  </si>
  <si>
    <t>Margem de contribuição</t>
  </si>
  <si>
    <t>Custos Fixos total do período</t>
  </si>
  <si>
    <t>Resultado da capacidade de pagto do empreendimento</t>
  </si>
  <si>
    <t>Disponibilidade</t>
  </si>
  <si>
    <t>Valor da renda outros membros familia do período</t>
  </si>
  <si>
    <t>Renda familar total</t>
  </si>
  <si>
    <t>Saldo líquido de renda familiar</t>
  </si>
  <si>
    <t>Capac. De pagto do Negócio</t>
  </si>
  <si>
    <t>Margem de Endividamento</t>
  </si>
  <si>
    <t>Capacidade de pagamento dos avalistas</t>
  </si>
  <si>
    <t>Viabilidade da operação</t>
  </si>
  <si>
    <t>Percentual Excende de renda</t>
  </si>
  <si>
    <t>Margem de garantia</t>
  </si>
  <si>
    <t>Percentual excedente de garantia</t>
  </si>
  <si>
    <t>Gastos familiares total do período</t>
  </si>
  <si>
    <t>Total Passivo Circulante</t>
  </si>
  <si>
    <t>Total Ativo Fixo</t>
  </si>
  <si>
    <t>Total do Ativo Circulante</t>
  </si>
  <si>
    <t>LEVANTAMENTO SOCIOECONÔMICO - MICROCRÉDITO BANPARÁBIO</t>
  </si>
  <si>
    <t>Resumo</t>
  </si>
  <si>
    <t>Caixas e Bancos</t>
  </si>
  <si>
    <t>Reservas de emergência (5%)</t>
  </si>
  <si>
    <t>É permitido direcionar até 10% do valor de investimento para custeio, ou até 10% do custeio para investimento, conforme os limites da linha.</t>
  </si>
  <si>
    <t>Atividade</t>
  </si>
  <si>
    <t>Carência</t>
  </si>
  <si>
    <t>Amortização</t>
  </si>
  <si>
    <t>Parcelas</t>
  </si>
  <si>
    <t>Aquisição de Animais - Recria e Engorda (Bezerros(as))</t>
  </si>
  <si>
    <t>Aquisição de Animais - Recria e Engorda (Garrotes(as), Novilho(a))</t>
  </si>
  <si>
    <t>Manejo (Açaí, Cacau, Dendê, etc.)</t>
  </si>
  <si>
    <t>Insumos Diversos</t>
  </si>
  <si>
    <t>Demais Culturas</t>
  </si>
  <si>
    <t>Perfuração de Poço, Máquinas, Equipamentos, Sistema de Irrigação, Cercas, etc.</t>
  </si>
  <si>
    <t>Aquisição de Animais para Reprodução (Reprodutor e Matrizes)</t>
  </si>
  <si>
    <t>Outro</t>
  </si>
  <si>
    <t>Hora trator</t>
  </si>
  <si>
    <t>Homem dia</t>
  </si>
  <si>
    <t>Construção de instalações, Estufas, etc.</t>
  </si>
  <si>
    <t>Ração</t>
  </si>
  <si>
    <t>Orçamento financiado:</t>
  </si>
  <si>
    <t>Orçamento dentro do limite da linha</t>
  </si>
  <si>
    <t>Custo dentro do parâmetro mínimo de 30% da renda do empreendimento</t>
  </si>
  <si>
    <t>Receita dentro do parâmetro máximo de 70% renda do empreendimento</t>
  </si>
  <si>
    <t>Área Financiada ou pasto (ha)</t>
  </si>
  <si>
    <t>Parcela dentro do limite de 30% da renda total do cliente</t>
  </si>
  <si>
    <t>Mensageria - Resultado Operacional</t>
  </si>
  <si>
    <t>Atenção, Projetista:</t>
  </si>
  <si>
    <t>Antes de apresentar a proposta na agência, observe os seguintes pontos:</t>
  </si>
  <si>
    <t>Ao assinar esta proposta, você declara estar ciente e de acordo com todos os pontos abaixo:</t>
  </si>
  <si>
    <t>Mensageria - Viabilidade</t>
  </si>
  <si>
    <t>Instruções para preenchimento e validação da proposta</t>
  </si>
  <si>
    <t>Tempo de Independência na Atividade (anos)</t>
  </si>
  <si>
    <t>Salários da Mão de Obra</t>
  </si>
  <si>
    <t>Encargos Sociais e Trabalhistas Mão de Obra (80%)</t>
  </si>
  <si>
    <t>❌ Não apresentar propostas com resultado de inviabilidade em qualquer um dos critérios analisados.</t>
  </si>
  <si>
    <t>⚠️ Não apresentar propostas com apontamentos na mensageria.</t>
  </si>
  <si>
    <r>
      <t>1. Declaro que as informações preenchidas no presente Levantamento Socioeconômico</t>
    </r>
    <r>
      <rPr>
        <sz val="10"/>
        <color theme="1"/>
        <rFont val="Aptos Narrow"/>
        <family val="2"/>
        <scheme val="minor"/>
      </rPr>
      <t xml:space="preserve"> são verdadeiras, foram obtidas junto ao cliente em visita realizada ao empreendimento, constatando a sua real existência, conforme determinam os normativos internos, e estou ciente das responsabilidades pelas informações prestadas.</t>
    </r>
  </si>
  <si>
    <r>
      <t>2. Declaro também que os valores informados no orçamento</t>
    </r>
    <r>
      <rPr>
        <sz val="10"/>
        <color theme="1"/>
        <rFont val="Aptos Narrow"/>
        <family val="2"/>
        <scheme val="minor"/>
      </rPr>
      <t xml:space="preserve"> estão de acordo com os preços praticados no mercado e que serão aplicados conforme descrito no projeto apresentado.</t>
    </r>
  </si>
  <si>
    <r>
      <t>3. Estou ciente de que, caso as informações fornecidas não sejam verídicas</t>
    </r>
    <r>
      <rPr>
        <sz val="10"/>
        <color theme="1"/>
        <rFont val="Aptos Narrow"/>
        <family val="2"/>
        <scheme val="minor"/>
      </rPr>
      <t xml:space="preserve"> ou se os </t>
    </r>
    <r>
      <rPr>
        <b/>
        <sz val="10"/>
        <color theme="1"/>
        <rFont val="Aptos Narrow"/>
        <family val="2"/>
        <scheme val="minor"/>
      </rPr>
      <t>recursos não forem comprovados</t>
    </r>
    <r>
      <rPr>
        <sz val="10"/>
        <color theme="1"/>
        <rFont val="Aptos Narrow"/>
        <family val="2"/>
        <scheme val="minor"/>
      </rPr>
      <t xml:space="preserve"> no prazo estipulado, estarei sujeito à </t>
    </r>
    <r>
      <rPr>
        <b/>
        <sz val="10"/>
        <color theme="1"/>
        <rFont val="Aptos Narrow"/>
        <family val="2"/>
        <scheme val="minor"/>
      </rPr>
      <t>desabilitação como projetista</t>
    </r>
    <r>
      <rPr>
        <sz val="10"/>
        <color theme="1"/>
        <rFont val="Aptos Narrow"/>
        <family val="2"/>
        <scheme val="minor"/>
      </rPr>
      <t xml:space="preserve">, além das possíveis </t>
    </r>
    <r>
      <rPr>
        <b/>
        <sz val="10"/>
        <color theme="1"/>
        <rFont val="Aptos Narrow"/>
        <family val="2"/>
        <scheme val="minor"/>
      </rPr>
      <t>sanções legais cabíveis</t>
    </r>
    <r>
      <rPr>
        <sz val="10"/>
        <color theme="1"/>
        <rFont val="Aptos Narrow"/>
        <family val="2"/>
        <scheme val="minor"/>
      </rPr>
      <t>.</t>
    </r>
  </si>
  <si>
    <r>
      <t>✅ Resultado "Viável" não garante aprovação do crédito.</t>
    </r>
    <r>
      <rPr>
        <sz val="10"/>
        <color theme="1"/>
        <rFont val="Aptos Narrow"/>
        <family val="2"/>
        <scheme val="minor"/>
      </rPr>
      <t xml:space="preserve"> A proposta ainda passará por análise e validação da agência.</t>
    </r>
  </si>
  <si>
    <r>
      <t>📅 A parcela será recalculada de acordo com a data de inserção da proposta no sistema.</t>
    </r>
    <r>
      <rPr>
        <sz val="10"/>
        <color theme="1"/>
        <rFont val="Aptos Narrow"/>
        <family val="2"/>
        <scheme val="minor"/>
      </rPr>
      <t xml:space="preserve"> Certifique-se de considerar isso ao orientar o cliente.</t>
    </r>
  </si>
  <si>
    <t>Valor estimado da prestação (Solicitar a agência)</t>
  </si>
  <si>
    <r>
      <t xml:space="preserve">Estrutura Atual e Perfil do Cliente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</si>
  <si>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Tempo de Experiência na Atividade (anos)*</t>
  </si>
  <si>
    <t>*O tempo de atividade não pode ser superior a idade do cliente.</t>
  </si>
  <si>
    <t>Área da UFPA (ha)</t>
  </si>
  <si>
    <t>Engorda de Peixes</t>
  </si>
  <si>
    <t>Suínos</t>
  </si>
  <si>
    <t>Plantio de Banana, Mandioca</t>
  </si>
  <si>
    <t>Matrizes de Suínos</t>
  </si>
  <si>
    <t>Plantio de Milho</t>
  </si>
  <si>
    <t>Plantio de Soja</t>
  </si>
  <si>
    <t>Aves</t>
  </si>
  <si>
    <t>Compra de Embarcações</t>
  </si>
  <si>
    <t>Manutenção de Embarcações</t>
  </si>
  <si>
    <t>Apetrechos de Pesca</t>
  </si>
  <si>
    <r>
      <t xml:space="preserve">Mercado de Comercialização da Produção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</si>
  <si>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r>
      <t xml:space="preserve">Expectativa com o Crédito </t>
    </r>
    <r>
      <rPr>
        <i/>
        <sz val="10"/>
        <color theme="1"/>
        <rFont val="Aptos Narrow"/>
        <family val="2"/>
        <scheme val="minor"/>
      </rPr>
      <t>(passar para a próxima linha Alt+Enter)</t>
    </r>
  </si>
  <si>
    <t>Condição uso da terra</t>
  </si>
  <si>
    <t>Área Consolidada (ha)</t>
  </si>
  <si>
    <t>Longitude (GMS)</t>
  </si>
  <si>
    <t>Valor Mensal (R$)</t>
  </si>
  <si>
    <t>Integrantes da família sem renda</t>
  </si>
  <si>
    <t>Quantidade de Filhos</t>
  </si>
  <si>
    <t>Total de pessoas família dependentes da renda</t>
  </si>
  <si>
    <t>Idade dos Filhos: 0 a 10 anos</t>
  </si>
  <si>
    <t>Idade dos Filhos: 11 a 20 anos</t>
  </si>
  <si>
    <t>Idade dos Filhos: acima de 20 anos</t>
  </si>
  <si>
    <r>
      <t xml:space="preserve">Descrição da atividade e Finalidade do Crédito </t>
    </r>
    <r>
      <rPr>
        <i/>
        <sz val="10"/>
        <color theme="1"/>
        <rFont val="Aptos Narrow"/>
        <family val="2"/>
        <scheme val="minor"/>
      </rPr>
      <t>(alt+Enter para passar para próxima linha)</t>
    </r>
  </si>
  <si>
    <t>6. RECEITAS DO EMPREENDIMENTO</t>
  </si>
  <si>
    <t>7. CUSTOS DO EMPREENDIMENTO</t>
  </si>
  <si>
    <t>7.1. CUSTOS VARIÁVEIS - MENSAL</t>
  </si>
  <si>
    <t>7.2. CUSTOS FIXOS - MENSAL</t>
  </si>
  <si>
    <t>Total de Receita (a)</t>
  </si>
  <si>
    <t>Receita máxima permitida - 70% da renda do empreendimento (b)</t>
  </si>
  <si>
    <t>Diferença entre parâmetro e receita informada (c): (c = b - a)</t>
  </si>
  <si>
    <t>Total Geral de Custos (d)</t>
  </si>
  <si>
    <t>Custo mínimo permitido - 30% da renda do empreendimento (e)</t>
  </si>
  <si>
    <t>Diferença entre parâmetro e custos informados (f): (f = e - d)</t>
  </si>
  <si>
    <t>8. ORÇAMENTO</t>
  </si>
  <si>
    <t>9. PARÂMETROS DO FINANCIAMENTO</t>
  </si>
  <si>
    <t>10. GARANTIAS</t>
  </si>
  <si>
    <t>11. DADOS DO PROJETISTA</t>
  </si>
  <si>
    <t>11.1. PARECER TÉCNICO DO PROJETISTA</t>
  </si>
  <si>
    <t>CNPJ/CPF:</t>
  </si>
  <si>
    <t>Nome:</t>
  </si>
  <si>
    <t>Certifique-se de preencher todos os campos obrigatórios, considerando todos os parâmetros exigidos pela linha de crédito.</t>
  </si>
  <si>
    <t>Somente as células destacadas na cor abaixo podem ser editadas:</t>
  </si>
  <si>
    <t>Observação: Células sem esta cor são bloqueadas ou calculadas automaticamente.</t>
  </si>
  <si>
    <t>Após o levantamento, solicite à agência o valor da parcela estimada.</t>
  </si>
  <si>
    <t>Insira esse valor no quadro "Resultado Operacional", no campo correspondente.</t>
  </si>
  <si>
    <t>Confirme se a operação está viável em todos os parâmetros exigidos pela linha.</t>
  </si>
  <si>
    <t>Não avance com propostas que apresentem inviabilidade ou apontamentos na mensageria.</t>
  </si>
  <si>
    <t>Após validar a viabilidade, imprima a proposta e anexe à documentação necessária para envio à agência.</t>
  </si>
  <si>
    <t>1. ✅ Preencher a aba "Levantamento"</t>
  </si>
  <si>
    <t>2. 🎨 Preencher apenas células com fundo amarelo claro (#FFFFCC)</t>
  </si>
  <si>
    <t>3. 🏦 Solicitar à agência o valor da parcela</t>
  </si>
  <si>
    <t>4. 🔍 Verificar a viabilidade da operação</t>
  </si>
  <si>
    <t>5. 🖨️ Imprimir a proposta e juntar com a documentação</t>
  </si>
  <si>
    <t>c</t>
  </si>
  <si>
    <t>e</t>
  </si>
  <si>
    <t>f</t>
  </si>
  <si>
    <t>g</t>
  </si>
  <si>
    <t>Implantação de culturas permanentes</t>
  </si>
  <si>
    <t>Outras finalidades</t>
  </si>
  <si>
    <t>Renda total do CAF (R$)</t>
  </si>
  <si>
    <t>Valor Anual (R$)</t>
  </si>
  <si>
    <t>Receita total do Período</t>
  </si>
  <si>
    <t>Amortização De Dívidas Existentes do período</t>
  </si>
  <si>
    <t>1.2. CONFIGURAÇÃO DO EXTRATO DO CAF</t>
  </si>
  <si>
    <t>1.1. DEFINIÇÃO DE LIMITE MÁXIMO PARA CONSTRUÇÃO DO ORÇAMENTO</t>
  </si>
  <si>
    <t>Data Inscrição</t>
  </si>
  <si>
    <t>Limite de Crédito Global e Mensal</t>
  </si>
  <si>
    <t xml:space="preserve">Global </t>
  </si>
  <si>
    <t>Limite</t>
  </si>
  <si>
    <t>Possui histórico de Crédito Rural em contrato no Banpará ou em outros bancos?</t>
  </si>
  <si>
    <t>Margem para Orçamento</t>
  </si>
  <si>
    <t>Valor Orçado</t>
  </si>
  <si>
    <t>Sim</t>
  </si>
  <si>
    <t>Orçamento dentro do parâmetro de renda (30% para contratos novos, 70% para renovação)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</si>
</sst>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.000\.000\-00"/>
    <numFmt numFmtId="165" formatCode="00000\-000"/>
  </numFmts>
  <fonts count="2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2"/>
      <color rgb="FF404040"/>
      <name val="Segoe UI"/>
      <family val="2"/>
    </font>
    <font>
      <sz val="10"/>
      <color rgb="FF404040"/>
      <name val="Arial"/>
      <family val="2"/>
    </font>
    <font>
      <sz val="12"/>
      <color rgb="FF262626"/>
      <name val="Segoe UI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b/>
      <sz val="10"/>
      <color theme="1"/>
      <name val="Arial"/>
      <family val="2"/>
    </font>
    <font>
      <sz val="9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A7A57"/>
        <bgColor indexed="64"/>
      </patternFill>
    </fill>
    <fill>
      <patternFill patternType="solid">
        <fgColor rgb="FFA8D5BA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 wrapText="1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13" xfId="0" applyFont="1" applyBorder="1"/>
    <xf numFmtId="0" fontId="7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" fontId="12" fillId="0" borderId="0" xfId="0" applyNumberFormat="1" applyFont="1" applyAlignment="1">
      <alignment horizontal="center"/>
    </xf>
    <xf numFmtId="0" fontId="7" fillId="3" borderId="2" xfId="0" applyFont="1" applyFill="1" applyBorder="1"/>
    <xf numFmtId="0" fontId="7" fillId="3" borderId="4" xfId="0" applyFont="1" applyFill="1" applyBorder="1"/>
    <xf numFmtId="0" fontId="0" fillId="0" borderId="13" xfId="0" applyBorder="1"/>
    <xf numFmtId="0" fontId="12" fillId="0" borderId="13" xfId="0" applyFont="1" applyBorder="1" applyAlignment="1">
      <alignment horizontal="left"/>
    </xf>
    <xf numFmtId="0" fontId="8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7" xfId="0" applyFont="1" applyFill="1" applyBorder="1" applyAlignment="1" applyProtection="1">
      <alignment horizontal="center" wrapText="1"/>
      <protection locked="0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/>
      <protection locked="0"/>
    </xf>
    <xf numFmtId="10" fontId="7" fillId="4" borderId="1" xfId="0" applyNumberFormat="1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/>
    <xf numFmtId="0" fontId="1" fillId="0" borderId="1" xfId="0" applyFont="1" applyBorder="1"/>
    <xf numFmtId="0" fontId="7" fillId="0" borderId="0" xfId="0" applyFont="1" applyAlignment="1">
      <alignment horizontal="left" vertical="top" wrapText="1"/>
    </xf>
    <xf numFmtId="0" fontId="22" fillId="0" borderId="0" xfId="0" applyFont="1"/>
    <xf numFmtId="0" fontId="23" fillId="0" borderId="0" xfId="0" applyFont="1"/>
    <xf numFmtId="0" fontId="14" fillId="4" borderId="0" xfId="0" applyFont="1" applyFill="1"/>
    <xf numFmtId="0" fontId="13" fillId="2" borderId="0" xfId="0" applyFont="1" applyFill="1"/>
    <xf numFmtId="0" fontId="16" fillId="0" borderId="0" xfId="0" applyFont="1" applyAlignment="1">
      <alignment horizontal="left"/>
    </xf>
    <xf numFmtId="4" fontId="19" fillId="0" borderId="0" xfId="0" applyNumberFormat="1" applyFont="1"/>
    <xf numFmtId="0" fontId="14" fillId="0" borderId="0" xfId="0" applyFont="1"/>
    <xf numFmtId="4" fontId="24" fillId="0" borderId="0" xfId="0" applyNumberFormat="1" applyFont="1"/>
    <xf numFmtId="0" fontId="24" fillId="0" borderId="0" xfId="0" applyFont="1"/>
    <xf numFmtId="0" fontId="7" fillId="0" borderId="0" xfId="0" applyFont="1" applyAlignment="1">
      <alignment horizontal="left"/>
    </xf>
    <xf numFmtId="0" fontId="15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4" fontId="15" fillId="0" borderId="10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9" fontId="15" fillId="0" borderId="13" xfId="1" applyFont="1" applyBorder="1" applyAlignment="1">
      <alignment horizontal="right"/>
    </xf>
    <xf numFmtId="0" fontId="7" fillId="0" borderId="13" xfId="0" applyFont="1" applyBorder="1" applyAlignment="1">
      <alignment horizontal="left"/>
    </xf>
    <xf numFmtId="9" fontId="15" fillId="0" borderId="0" xfId="1" applyFont="1" applyBorder="1" applyAlignment="1">
      <alignment horizontal="right"/>
    </xf>
    <xf numFmtId="0" fontId="8" fillId="2" borderId="13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7" fillId="0" borderId="10" xfId="0" applyFont="1" applyBorder="1" applyAlignment="1">
      <alignment horizontal="left" vertical="top" wrapText="1"/>
    </xf>
    <xf numFmtId="4" fontId="20" fillId="4" borderId="0" xfId="0" applyNumberFormat="1" applyFont="1" applyFill="1" applyAlignment="1" applyProtection="1">
      <alignment horizontal="right"/>
      <protection locked="0"/>
    </xf>
    <xf numFmtId="4" fontId="7" fillId="3" borderId="2" xfId="0" applyNumberFormat="1" applyFont="1" applyFill="1" applyBorder="1" applyAlignment="1">
      <alignment horizontal="center" wrapText="1"/>
    </xf>
    <xf numFmtId="4" fontId="7" fillId="3" borderId="4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4" fontId="15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15" fillId="4" borderId="2" xfId="0" applyNumberFormat="1" applyFont="1" applyFill="1" applyBorder="1" applyAlignment="1" applyProtection="1">
      <alignment horizontal="left"/>
      <protection locked="0"/>
    </xf>
    <xf numFmtId="4" fontId="15" fillId="4" borderId="3" xfId="0" applyNumberFormat="1" applyFont="1" applyFill="1" applyBorder="1" applyAlignment="1" applyProtection="1">
      <alignment horizontal="left"/>
      <protection locked="0"/>
    </xf>
    <xf numFmtId="4" fontId="15" fillId="4" borderId="4" xfId="0" applyNumberFormat="1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5" fillId="4" borderId="4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right" vertical="center" wrapText="1"/>
    </xf>
    <xf numFmtId="165" fontId="18" fillId="4" borderId="1" xfId="0" applyNumberFormat="1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/>
      <protection locked="0"/>
    </xf>
    <xf numFmtId="0" fontId="18" fillId="4" borderId="4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 applyProtection="1">
      <alignment horizontal="left"/>
      <protection locked="0"/>
    </xf>
    <xf numFmtId="0" fontId="15" fillId="4" borderId="4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left" vertical="center" wrapText="1"/>
    </xf>
    <xf numFmtId="16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16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4" fontId="6" fillId="3" borderId="2" xfId="0" applyNumberFormat="1" applyFont="1" applyFill="1" applyBorder="1" applyAlignment="1">
      <alignment horizontal="left"/>
    </xf>
    <xf numFmtId="4" fontId="6" fillId="3" borderId="3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 wrapText="1"/>
      <protection locked="0"/>
    </xf>
    <xf numFmtId="0" fontId="15" fillId="4" borderId="10" xfId="0" applyFont="1" applyFill="1" applyBorder="1" applyAlignment="1" applyProtection="1">
      <alignment horizontal="justify" vertical="top"/>
      <protection locked="0"/>
    </xf>
    <xf numFmtId="0" fontId="15" fillId="4" borderId="6" xfId="0" applyFont="1" applyFill="1" applyBorder="1" applyAlignment="1" applyProtection="1">
      <alignment horizontal="justify" vertical="top"/>
      <protection locked="0"/>
    </xf>
    <xf numFmtId="0" fontId="15" fillId="4" borderId="11" xfId="0" applyFont="1" applyFill="1" applyBorder="1" applyAlignment="1" applyProtection="1">
      <alignment horizontal="justify" vertical="top"/>
      <protection locked="0"/>
    </xf>
    <xf numFmtId="0" fontId="15" fillId="4" borderId="0" xfId="0" applyFont="1" applyFill="1" applyAlignment="1" applyProtection="1">
      <alignment horizontal="justify" vertical="top"/>
      <protection locked="0"/>
    </xf>
    <xf numFmtId="0" fontId="15" fillId="4" borderId="12" xfId="0" applyFont="1" applyFill="1" applyBorder="1" applyAlignment="1" applyProtection="1">
      <alignment horizontal="justify" vertical="top"/>
      <protection locked="0"/>
    </xf>
    <xf numFmtId="0" fontId="15" fillId="4" borderId="8" xfId="0" applyFont="1" applyFill="1" applyBorder="1" applyAlignment="1" applyProtection="1">
      <alignment horizontal="justify" vertical="top"/>
      <protection locked="0"/>
    </xf>
    <xf numFmtId="0" fontId="15" fillId="4" borderId="13" xfId="0" applyFont="1" applyFill="1" applyBorder="1" applyAlignment="1" applyProtection="1">
      <alignment horizontal="justify" vertical="top"/>
      <protection locked="0"/>
    </xf>
    <xf numFmtId="0" fontId="15" fillId="4" borderId="9" xfId="0" applyFont="1" applyFill="1" applyBorder="1" applyAlignment="1" applyProtection="1">
      <alignment horizontal="justify" vertical="top"/>
      <protection locked="0"/>
    </xf>
    <xf numFmtId="3" fontId="15" fillId="4" borderId="1" xfId="0" applyNumberFormat="1" applyFont="1" applyFill="1" applyBorder="1" applyAlignment="1" applyProtection="1">
      <alignment horizontal="left"/>
      <protection locked="0"/>
    </xf>
    <xf numFmtId="4" fontId="7" fillId="3" borderId="2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4" fontId="15" fillId="4" borderId="2" xfId="0" applyNumberFormat="1" applyFont="1" applyFill="1" applyBorder="1" applyAlignment="1" applyProtection="1">
      <alignment horizontal="center"/>
      <protection locked="0"/>
    </xf>
    <xf numFmtId="4" fontId="15" fillId="4" borderId="4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 applyProtection="1">
      <alignment horizontal="justify" vertical="top" wrapText="1"/>
      <protection locked="0"/>
    </xf>
    <xf numFmtId="0" fontId="15" fillId="4" borderId="1" xfId="0" applyFont="1" applyFill="1" applyBorder="1" applyAlignment="1" applyProtection="1">
      <alignment horizontal="justify" vertical="top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0" fontId="15" fillId="4" borderId="5" xfId="0" applyFont="1" applyFill="1" applyBorder="1" applyAlignment="1" applyProtection="1">
      <alignment horizontal="center" wrapText="1"/>
      <protection locked="0"/>
    </xf>
    <xf numFmtId="0" fontId="15" fillId="4" borderId="6" xfId="0" applyFont="1" applyFill="1" applyBorder="1" applyAlignment="1" applyProtection="1">
      <alignment horizontal="center" wrapText="1"/>
      <protection locked="0"/>
    </xf>
    <xf numFmtId="4" fontId="15" fillId="4" borderId="2" xfId="0" applyNumberFormat="1" applyFont="1" applyFill="1" applyBorder="1" applyAlignment="1" applyProtection="1">
      <alignment horizontal="center" wrapText="1"/>
      <protection locked="0"/>
    </xf>
    <xf numFmtId="4" fontId="15" fillId="4" borderId="4" xfId="0" applyNumberFormat="1" applyFont="1" applyFill="1" applyBorder="1" applyAlignment="1" applyProtection="1">
      <alignment horizontal="center" wrapText="1"/>
      <protection locked="0"/>
    </xf>
    <xf numFmtId="4" fontId="15" fillId="4" borderId="5" xfId="0" applyNumberFormat="1" applyFont="1" applyFill="1" applyBorder="1" applyAlignment="1" applyProtection="1">
      <alignment horizontal="center" wrapText="1"/>
      <protection locked="0"/>
    </xf>
    <xf numFmtId="4" fontId="15" fillId="4" borderId="6" xfId="0" applyNumberFormat="1" applyFont="1" applyFill="1" applyBorder="1" applyAlignment="1" applyProtection="1">
      <alignment horizontal="center" wrapText="1"/>
      <protection locked="0"/>
    </xf>
    <xf numFmtId="0" fontId="15" fillId="4" borderId="2" xfId="0" applyFont="1" applyFill="1" applyBorder="1" applyAlignment="1" applyProtection="1">
      <alignment horizontal="center" wrapText="1"/>
      <protection locked="0"/>
    </xf>
    <xf numFmtId="0" fontId="15" fillId="4" borderId="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4" borderId="2" xfId="0" applyFont="1" applyFill="1" applyBorder="1" applyAlignment="1" applyProtection="1">
      <alignment horizontal="left" vertical="center" wrapText="1"/>
      <protection locked="0"/>
    </xf>
    <xf numFmtId="0" fontId="17" fillId="4" borderId="3" xfId="0" applyFont="1" applyFill="1" applyBorder="1" applyAlignment="1" applyProtection="1">
      <alignment horizontal="left" vertical="center" wrapText="1"/>
      <protection locked="0"/>
    </xf>
    <xf numFmtId="0" fontId="17" fillId="4" borderId="4" xfId="0" applyFont="1" applyFill="1" applyBorder="1" applyAlignment="1" applyProtection="1">
      <alignment horizontal="left" vertical="center" wrapText="1"/>
      <protection locked="0"/>
    </xf>
    <xf numFmtId="14" fontId="17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15" fillId="4" borderId="5" xfId="0" applyFont="1" applyFill="1" applyBorder="1" applyAlignment="1" applyProtection="1">
      <alignment horizontal="justify" vertical="top"/>
      <protection locked="0"/>
    </xf>
    <xf numFmtId="4" fontId="15" fillId="3" borderId="2" xfId="0" applyNumberFormat="1" applyFont="1" applyFill="1" applyBorder="1" applyAlignment="1">
      <alignment horizontal="center"/>
    </xf>
    <xf numFmtId="4" fontId="15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6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15" fillId="4" borderId="9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>
      <alignment horizontal="justify" vertical="top" wrapText="1"/>
    </xf>
    <xf numFmtId="0" fontId="7" fillId="3" borderId="10" xfId="0" applyFont="1" applyFill="1" applyBorder="1" applyAlignment="1">
      <alignment horizontal="justify" vertical="top" wrapText="1"/>
    </xf>
    <xf numFmtId="0" fontId="7" fillId="3" borderId="6" xfId="0" applyFont="1" applyFill="1" applyBorder="1" applyAlignment="1">
      <alignment horizontal="justify" vertical="top" wrapText="1"/>
    </xf>
    <xf numFmtId="0" fontId="7" fillId="3" borderId="11" xfId="0" applyFont="1" applyFill="1" applyBorder="1" applyAlignment="1">
      <alignment horizontal="justify" vertical="top" wrapText="1"/>
    </xf>
    <xf numFmtId="0" fontId="7" fillId="3" borderId="0" xfId="0" applyFont="1" applyFill="1" applyAlignment="1">
      <alignment horizontal="justify" vertical="top" wrapText="1"/>
    </xf>
    <xf numFmtId="0" fontId="7" fillId="3" borderId="12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0" fontId="7" fillId="3" borderId="13" xfId="0" applyFont="1" applyFill="1" applyBorder="1" applyAlignment="1">
      <alignment horizontal="justify" vertical="top" wrapText="1"/>
    </xf>
    <xf numFmtId="0" fontId="7" fillId="3" borderId="9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 applyProtection="1">
      <alignment horizontal="center" vertical="center" wrapText="1"/>
      <protection locked="0"/>
    </xf>
    <xf numFmtId="0" fontId="17" fillId="4" borderId="4" xfId="0" applyFont="1" applyFill="1" applyBorder="1" applyAlignment="1" applyProtection="1">
      <alignment horizontal="center" vertical="center" wrapText="1"/>
      <protection locked="0"/>
    </xf>
    <xf numFmtId="4" fontId="15" fillId="4" borderId="2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5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7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right"/>
    </xf>
    <xf numFmtId="0" fontId="18" fillId="4" borderId="3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4" fontId="17" fillId="3" borderId="2" xfId="1" applyNumberFormat="1" applyFont="1" applyFill="1" applyBorder="1" applyAlignment="1" applyProtection="1">
      <alignment horizontal="center" vertical="center" wrapText="1"/>
    </xf>
    <xf numFmtId="4" fontId="17" fillId="3" borderId="4" xfId="1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left"/>
    </xf>
    <xf numFmtId="0" fontId="25" fillId="3" borderId="1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/>
    </xf>
  </cellXfs>
  <cellStyles count="2">
    <cellStyle name="Normal" xfId="0" builtinId="0"/>
    <cellStyle name="Porcentagem" xfId="1" builtinId="5"/>
  </cellStyles>
  <dxfs count="6">
    <dxf>
      <font>
        <color theme="9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8D5BA"/>
      <color rgb="FFFFFFCC"/>
      <color rgb="FF3A7A57"/>
      <color rgb="FFE6F4EA"/>
      <color rgb="FF2F368E"/>
      <color rgb="FFD4DCF5"/>
      <color rgb="FFC7CCF5"/>
      <color rgb="FF9FA8EE"/>
      <color rgb="FF081F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1C-8C31-4C87-B6F2-FC0953A59C6B}">
  <sheetPr codeName="Planilha5"/>
  <dimension ref="B2:K21"/>
  <sheetViews>
    <sheetView showGridLines="0" showRowColHeaders="0" zoomScale="160" zoomScaleNormal="160" workbookViewId="0">
      <selection activeCell="E13" sqref="E13"/>
    </sheetView>
  </sheetViews>
  <sheetFormatPr defaultRowHeight="15" x14ac:dyDescent="0.25"/>
  <cols>
    <col min="1" max="16384" width="9.140625" style="27"/>
  </cols>
  <sheetData>
    <row r="2" spans="2:11" x14ac:dyDescent="0.25">
      <c r="B2" s="47" t="s">
        <v>311</v>
      </c>
    </row>
    <row r="4" spans="2:11" x14ac:dyDescent="0.25">
      <c r="B4" s="27" t="s">
        <v>375</v>
      </c>
      <c r="D4" s="28"/>
      <c r="E4" s="28"/>
      <c r="F4" s="28"/>
      <c r="G4" s="28"/>
      <c r="H4" s="28"/>
      <c r="I4" s="28"/>
      <c r="J4" s="28"/>
      <c r="K4" s="28"/>
    </row>
    <row r="5" spans="2:11" x14ac:dyDescent="0.25">
      <c r="B5" s="28" t="s">
        <v>367</v>
      </c>
      <c r="D5" s="28"/>
      <c r="E5" s="28"/>
      <c r="F5" s="28"/>
      <c r="G5" s="28"/>
      <c r="H5" s="28"/>
      <c r="I5" s="28"/>
      <c r="J5" s="28"/>
      <c r="K5" s="28"/>
    </row>
    <row r="6" spans="2:11" x14ac:dyDescent="0.25">
      <c r="B6" s="28"/>
      <c r="D6" s="28"/>
      <c r="E6" s="28"/>
      <c r="F6" s="28"/>
      <c r="G6" s="28"/>
      <c r="H6" s="28"/>
      <c r="I6" s="28"/>
      <c r="J6" s="28"/>
      <c r="K6" s="28"/>
    </row>
    <row r="7" spans="2:11" x14ac:dyDescent="0.25">
      <c r="B7" s="28" t="s">
        <v>376</v>
      </c>
      <c r="D7" s="28"/>
      <c r="E7" s="28"/>
      <c r="F7" s="28"/>
      <c r="G7" s="28"/>
      <c r="H7" s="28"/>
      <c r="I7" s="28"/>
      <c r="J7" s="28"/>
      <c r="K7" s="28"/>
    </row>
    <row r="8" spans="2:11" x14ac:dyDescent="0.25">
      <c r="B8" s="28" t="s">
        <v>368</v>
      </c>
      <c r="D8" s="28"/>
      <c r="E8" s="28"/>
      <c r="F8" s="28"/>
      <c r="G8" s="28"/>
      <c r="H8" s="28"/>
      <c r="I8" s="28"/>
      <c r="J8" s="28"/>
      <c r="K8" s="28"/>
    </row>
    <row r="9" spans="2:11" x14ac:dyDescent="0.25">
      <c r="B9" s="46"/>
      <c r="D9" s="28"/>
      <c r="E9" s="28"/>
      <c r="F9" s="28"/>
      <c r="G9" s="28"/>
      <c r="H9" s="28"/>
      <c r="I9" s="28"/>
      <c r="J9" s="28"/>
      <c r="K9" s="28"/>
    </row>
    <row r="10" spans="2:11" x14ac:dyDescent="0.25">
      <c r="B10" s="28" t="s">
        <v>369</v>
      </c>
      <c r="D10" s="28"/>
      <c r="E10" s="28"/>
      <c r="F10" s="28"/>
      <c r="G10" s="28"/>
      <c r="H10" s="28"/>
      <c r="I10" s="28"/>
      <c r="J10" s="28"/>
      <c r="K10" s="28"/>
    </row>
    <row r="11" spans="2:11" x14ac:dyDescent="0.25">
      <c r="B11" s="28"/>
      <c r="D11" s="28"/>
      <c r="E11" s="28"/>
      <c r="F11" s="28"/>
      <c r="G11" s="28"/>
      <c r="H11" s="28"/>
      <c r="I11" s="28"/>
      <c r="J11" s="28"/>
      <c r="K11" s="28"/>
    </row>
    <row r="12" spans="2:11" x14ac:dyDescent="0.25">
      <c r="B12" s="28" t="s">
        <v>377</v>
      </c>
      <c r="D12" s="28"/>
      <c r="E12" s="28"/>
      <c r="F12" s="28"/>
      <c r="G12" s="28"/>
      <c r="H12" s="28"/>
      <c r="I12" s="28"/>
      <c r="J12" s="28"/>
      <c r="K12" s="28"/>
    </row>
    <row r="13" spans="2:11" x14ac:dyDescent="0.25">
      <c r="B13" s="28" t="s">
        <v>370</v>
      </c>
      <c r="D13" s="28"/>
      <c r="E13" s="28"/>
      <c r="F13" s="28"/>
      <c r="G13" s="28"/>
      <c r="H13" s="28"/>
      <c r="I13" s="28"/>
      <c r="J13" s="28"/>
      <c r="K13" s="28"/>
    </row>
    <row r="14" spans="2:11" x14ac:dyDescent="0.25">
      <c r="B14" s="28" t="s">
        <v>371</v>
      </c>
      <c r="D14" s="28"/>
      <c r="E14" s="28"/>
      <c r="F14" s="28"/>
      <c r="G14" s="28"/>
      <c r="H14" s="28"/>
      <c r="I14" s="28"/>
      <c r="J14" s="28"/>
      <c r="K14" s="28"/>
    </row>
    <row r="15" spans="2:11" x14ac:dyDescent="0.25">
      <c r="B15" s="28"/>
      <c r="D15" s="28"/>
      <c r="E15" s="28"/>
      <c r="F15" s="28"/>
      <c r="G15" s="28"/>
      <c r="H15" s="28"/>
      <c r="I15" s="28"/>
      <c r="J15" s="28"/>
      <c r="K15" s="28"/>
    </row>
    <row r="16" spans="2:11" x14ac:dyDescent="0.25">
      <c r="B16" s="28" t="s">
        <v>378</v>
      </c>
      <c r="D16" s="28"/>
      <c r="E16" s="28"/>
      <c r="F16" s="28"/>
      <c r="G16" s="28"/>
      <c r="H16" s="28"/>
      <c r="I16" s="28"/>
      <c r="J16" s="28"/>
      <c r="K16" s="28"/>
    </row>
    <row r="17" spans="2:11" x14ac:dyDescent="0.25">
      <c r="B17" s="28" t="s">
        <v>372</v>
      </c>
      <c r="D17" s="28"/>
      <c r="E17" s="28"/>
      <c r="F17" s="28"/>
      <c r="G17" s="28"/>
      <c r="H17" s="28"/>
      <c r="I17" s="28"/>
      <c r="J17" s="28"/>
      <c r="K17" s="28"/>
    </row>
    <row r="18" spans="2:11" x14ac:dyDescent="0.25">
      <c r="B18" s="28" t="s">
        <v>373</v>
      </c>
      <c r="D18" s="28"/>
      <c r="E18" s="28"/>
      <c r="F18" s="28"/>
      <c r="G18" s="28"/>
      <c r="H18" s="28"/>
      <c r="I18" s="28"/>
      <c r="J18" s="28"/>
      <c r="K18" s="28"/>
    </row>
    <row r="19" spans="2:11" x14ac:dyDescent="0.25">
      <c r="B19" s="28"/>
      <c r="D19" s="28"/>
      <c r="E19" s="28"/>
      <c r="F19" s="28"/>
      <c r="G19" s="28"/>
      <c r="H19" s="28"/>
      <c r="I19" s="28"/>
      <c r="J19" s="28"/>
      <c r="K19" s="28"/>
    </row>
    <row r="20" spans="2:11" x14ac:dyDescent="0.25">
      <c r="B20" s="28" t="s">
        <v>379</v>
      </c>
      <c r="D20" s="28"/>
      <c r="E20" s="28"/>
      <c r="F20" s="28"/>
      <c r="G20" s="28"/>
      <c r="H20" s="28"/>
      <c r="I20" s="28"/>
      <c r="J20" s="28"/>
      <c r="K20" s="28"/>
    </row>
    <row r="21" spans="2:11" x14ac:dyDescent="0.25">
      <c r="B21" s="28" t="s">
        <v>374</v>
      </c>
    </row>
  </sheetData>
  <sheetProtection algorithmName="SHA-512" hashValue="y1QKNKPMhuPbnZSoWbh08jQCumzOdIYkra4oEp7T5RM1EZN6OiEIlPyZK5ic+iHstNxhs653tBWdrQC5RZqeBw==" saltValue="+IxpcKSJWZdfQmRzCUrWrw==" spinCount="100000" sheet="1" objects="1" scenarios="1" selectLockedCells="1" selectUnlockedCells="1"/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DC89B-F2C0-414A-A70D-FFC00AE461D0}">
  <sheetPr codeName="Planilha1">
    <pageSetUpPr fitToPage="1"/>
  </sheetPr>
  <dimension ref="B1:Y353"/>
  <sheetViews>
    <sheetView showGridLines="0" tabSelected="1" topLeftCell="A300" zoomScale="175" zoomScaleNormal="175" workbookViewId="0">
      <selection activeCell="H308" sqref="H308:I308"/>
    </sheetView>
  </sheetViews>
  <sheetFormatPr defaultRowHeight="15" x14ac:dyDescent="0.25"/>
  <cols>
    <col min="1" max="1" width="1.85546875" customWidth="1"/>
    <col min="2" max="9" width="12.42578125" customWidth="1"/>
    <col min="12" max="12" width="9.85546875" bestFit="1" customWidth="1"/>
  </cols>
  <sheetData>
    <row r="1" spans="2:9" ht="15.75" x14ac:dyDescent="0.25">
      <c r="B1" s="92" t="s">
        <v>279</v>
      </c>
      <c r="C1" s="92"/>
      <c r="D1" s="92"/>
      <c r="E1" s="92"/>
      <c r="F1" s="92"/>
      <c r="G1" s="92"/>
      <c r="H1" s="92"/>
      <c r="I1" s="92"/>
    </row>
    <row r="2" spans="2:9" x14ac:dyDescent="0.25">
      <c r="B2" s="72" t="s">
        <v>0</v>
      </c>
      <c r="C2" s="72"/>
      <c r="D2" s="72"/>
      <c r="E2" s="72"/>
      <c r="F2" s="72"/>
      <c r="G2" s="72"/>
      <c r="H2" s="72"/>
      <c r="I2" s="72"/>
    </row>
    <row r="4" spans="2:9" ht="15" customHeight="1" x14ac:dyDescent="0.25">
      <c r="B4" s="80" t="s">
        <v>81</v>
      </c>
      <c r="C4" s="81"/>
      <c r="D4" s="93"/>
      <c r="E4" s="94"/>
      <c r="F4" s="94"/>
      <c r="G4" s="94"/>
      <c r="H4" s="94"/>
      <c r="I4" s="95"/>
    </row>
    <row r="5" spans="2:9" x14ac:dyDescent="0.25">
      <c r="B5" s="106" t="s">
        <v>146</v>
      </c>
      <c r="C5" s="106"/>
      <c r="D5" s="107"/>
      <c r="E5" s="108"/>
      <c r="F5" s="108"/>
      <c r="G5" s="108"/>
      <c r="H5" s="108"/>
      <c r="I5" s="109"/>
    </row>
    <row r="6" spans="2:9" ht="15" customHeight="1" x14ac:dyDescent="0.25">
      <c r="B6" s="80" t="s">
        <v>386</v>
      </c>
      <c r="C6" s="82"/>
      <c r="D6" s="209"/>
      <c r="E6" s="210"/>
      <c r="F6" s="210"/>
      <c r="G6" s="210"/>
      <c r="H6" s="210"/>
      <c r="I6" s="211"/>
    </row>
    <row r="7" spans="2:9" ht="15" customHeight="1" x14ac:dyDescent="0.25">
      <c r="B7" s="80" t="s">
        <v>148</v>
      </c>
      <c r="C7" s="81"/>
      <c r="D7" s="102"/>
      <c r="E7" s="102"/>
      <c r="F7" s="102"/>
      <c r="G7" s="102"/>
      <c r="H7" s="102"/>
      <c r="I7" s="102"/>
    </row>
    <row r="8" spans="2:9" ht="15" customHeight="1" x14ac:dyDescent="0.25">
      <c r="B8" s="80" t="s">
        <v>149</v>
      </c>
      <c r="C8" s="82"/>
      <c r="D8" s="103"/>
      <c r="E8" s="104"/>
      <c r="F8" s="104"/>
      <c r="G8" s="104"/>
      <c r="H8" s="104"/>
      <c r="I8" s="105"/>
    </row>
    <row r="9" spans="2:9" ht="15" customHeight="1" x14ac:dyDescent="0.25">
      <c r="B9" s="106" t="s">
        <v>150</v>
      </c>
      <c r="C9" s="106"/>
      <c r="D9" s="102"/>
      <c r="E9" s="102"/>
      <c r="F9" s="102"/>
      <c r="G9" s="102"/>
      <c r="H9" s="102"/>
      <c r="I9" s="102"/>
    </row>
    <row r="10" spans="2:9" ht="15" customHeight="1" x14ac:dyDescent="0.25">
      <c r="B10" s="80" t="s">
        <v>151</v>
      </c>
      <c r="C10" s="82"/>
      <c r="D10" s="93"/>
      <c r="E10" s="94"/>
      <c r="F10" s="94"/>
      <c r="G10" s="94"/>
      <c r="H10" s="94"/>
      <c r="I10" s="95"/>
    </row>
    <row r="11" spans="2:9" ht="15" customHeight="1" x14ac:dyDescent="0.25">
      <c r="B11" s="106" t="s">
        <v>152</v>
      </c>
      <c r="C11" s="106"/>
      <c r="D11" s="107"/>
      <c r="E11" s="108"/>
      <c r="F11" s="108"/>
      <c r="G11" s="108"/>
      <c r="H11" s="108"/>
      <c r="I11" s="109"/>
    </row>
    <row r="12" spans="2:9" ht="15" customHeight="1" x14ac:dyDescent="0.25">
      <c r="B12" s="31"/>
    </row>
    <row r="13" spans="2:9" ht="15" customHeight="1" x14ac:dyDescent="0.25">
      <c r="B13" s="171" t="s">
        <v>391</v>
      </c>
      <c r="C13" s="171"/>
      <c r="D13" s="171"/>
      <c r="E13" s="171"/>
      <c r="F13" s="171"/>
      <c r="G13" s="171"/>
      <c r="H13" s="171"/>
      <c r="I13" s="171"/>
    </row>
    <row r="14" spans="2:9" ht="15" customHeight="1" x14ac:dyDescent="0.25">
      <c r="B14" s="225" t="s">
        <v>396</v>
      </c>
      <c r="C14" s="226"/>
      <c r="D14" s="226"/>
      <c r="E14" s="226"/>
      <c r="F14" s="226"/>
      <c r="G14" s="227"/>
      <c r="H14" s="212" t="s">
        <v>399</v>
      </c>
      <c r="I14" s="213"/>
    </row>
    <row r="15" spans="2:9" ht="15" customHeight="1" x14ac:dyDescent="0.25">
      <c r="B15" s="231" t="s">
        <v>393</v>
      </c>
      <c r="C15" s="231"/>
      <c r="D15" s="232"/>
      <c r="E15" s="232"/>
      <c r="F15" s="231"/>
      <c r="G15" s="231"/>
      <c r="H15" s="231"/>
      <c r="I15" s="231"/>
    </row>
    <row r="16" spans="2:9" ht="15" customHeight="1" x14ac:dyDescent="0.25">
      <c r="B16" s="225" t="s">
        <v>395</v>
      </c>
      <c r="C16" s="227"/>
      <c r="D16" s="222" t="s">
        <v>397</v>
      </c>
      <c r="E16" s="223"/>
      <c r="F16" s="222" t="s">
        <v>398</v>
      </c>
      <c r="G16" s="223"/>
      <c r="H16" s="224" t="s">
        <v>259</v>
      </c>
      <c r="I16" s="224"/>
    </row>
    <row r="17" spans="2:9" ht="15" customHeight="1" x14ac:dyDescent="0.25">
      <c r="B17" s="230" t="s">
        <v>394</v>
      </c>
      <c r="C17" s="230"/>
      <c r="D17" s="228">
        <f>IF(H14="",0,IF(I219="RENOVAÇÃO",MIN(70%*D6,50000),IF(I219="NOVO",MIN(IF(H14="Sim",30%*(D6*100%),20%*(D6*100%)),30000))))</f>
        <v>0</v>
      </c>
      <c r="E17" s="229"/>
      <c r="F17" s="228">
        <f>I211</f>
        <v>0</v>
      </c>
      <c r="G17" s="229"/>
      <c r="H17" s="228" t="str">
        <f>IF(D6="","",IF(F17&gt;D17,"Projeto Inapto","Projeto Apto"))</f>
        <v/>
      </c>
      <c r="I17" s="229"/>
    </row>
    <row r="18" spans="2:9" ht="15" customHeight="1" x14ac:dyDescent="0.25">
      <c r="B18" s="29" t="str">
        <f>IF(H17="Projeto Inapto","Atenção: O valor do orçamento não poderá exceder a margem disponível do cliente.","")</f>
        <v/>
      </c>
    </row>
    <row r="19" spans="2:9" x14ac:dyDescent="0.25">
      <c r="B19" s="171" t="s">
        <v>390</v>
      </c>
      <c r="C19" s="171"/>
      <c r="D19" s="171"/>
      <c r="E19" s="171"/>
      <c r="F19" s="171"/>
      <c r="G19" s="171"/>
      <c r="H19" s="171"/>
      <c r="I19" s="171"/>
    </row>
    <row r="20" spans="2:9" x14ac:dyDescent="0.25">
      <c r="B20" s="10" t="s">
        <v>147</v>
      </c>
      <c r="C20" s="172"/>
      <c r="D20" s="173"/>
      <c r="E20" s="174"/>
      <c r="F20" s="176" t="s">
        <v>159</v>
      </c>
      <c r="G20" s="176"/>
      <c r="H20" s="215"/>
      <c r="I20" s="101"/>
    </row>
    <row r="21" spans="2:9" x14ac:dyDescent="0.25">
      <c r="B21" s="10" t="s">
        <v>392</v>
      </c>
      <c r="C21" s="175"/>
      <c r="D21" s="173"/>
      <c r="E21" s="174"/>
      <c r="F21" s="176" t="s">
        <v>326</v>
      </c>
      <c r="G21" s="176"/>
      <c r="H21" s="172"/>
      <c r="I21" s="174"/>
    </row>
    <row r="22" spans="2:9" x14ac:dyDescent="0.25">
      <c r="B22" s="73" t="s">
        <v>160</v>
      </c>
      <c r="C22" s="74"/>
      <c r="D22" s="74"/>
      <c r="E22" s="74"/>
      <c r="F22" s="74"/>
      <c r="G22" s="74"/>
      <c r="H22" s="74"/>
      <c r="I22" s="88"/>
    </row>
    <row r="23" spans="2:9" x14ac:dyDescent="0.25">
      <c r="B23" s="131" t="s">
        <v>161</v>
      </c>
      <c r="C23" s="133"/>
      <c r="D23" s="134" t="s">
        <v>162</v>
      </c>
      <c r="E23" s="135"/>
      <c r="F23" s="134" t="s">
        <v>163</v>
      </c>
      <c r="G23" s="135"/>
      <c r="H23" s="134" t="s">
        <v>387</v>
      </c>
      <c r="I23" s="135"/>
    </row>
    <row r="24" spans="2:9" x14ac:dyDescent="0.25">
      <c r="B24" s="131" t="s">
        <v>165</v>
      </c>
      <c r="C24" s="133"/>
      <c r="D24" s="207"/>
      <c r="E24" s="208"/>
      <c r="F24" s="207"/>
      <c r="G24" s="208"/>
      <c r="H24" s="212"/>
      <c r="I24" s="213"/>
    </row>
    <row r="25" spans="2:9" x14ac:dyDescent="0.25">
      <c r="B25" s="131" t="s">
        <v>165</v>
      </c>
      <c r="C25" s="133"/>
      <c r="D25" s="207"/>
      <c r="E25" s="208"/>
      <c r="F25" s="207"/>
      <c r="G25" s="208"/>
      <c r="H25" s="212"/>
      <c r="I25" s="213"/>
    </row>
    <row r="26" spans="2:9" x14ac:dyDescent="0.25">
      <c r="B26" s="131" t="s">
        <v>165</v>
      </c>
      <c r="C26" s="133"/>
      <c r="D26" s="207"/>
      <c r="E26" s="208"/>
      <c r="F26" s="207"/>
      <c r="G26" s="208"/>
      <c r="H26" s="212"/>
      <c r="I26" s="213"/>
    </row>
    <row r="27" spans="2:9" x14ac:dyDescent="0.25">
      <c r="B27" s="131" t="s">
        <v>165</v>
      </c>
      <c r="C27" s="133"/>
      <c r="D27" s="207"/>
      <c r="E27" s="208"/>
      <c r="F27" s="207"/>
      <c r="G27" s="208"/>
      <c r="H27" s="212"/>
      <c r="I27" s="213"/>
    </row>
    <row r="28" spans="2:9" x14ac:dyDescent="0.25">
      <c r="B28" s="131" t="s">
        <v>165</v>
      </c>
      <c r="C28" s="133"/>
      <c r="D28" s="207"/>
      <c r="E28" s="208"/>
      <c r="F28" s="207"/>
      <c r="G28" s="208"/>
      <c r="H28" s="212"/>
      <c r="I28" s="213"/>
    </row>
    <row r="29" spans="2:9" x14ac:dyDescent="0.25">
      <c r="B29" s="131" t="s">
        <v>165</v>
      </c>
      <c r="C29" s="133"/>
      <c r="D29" s="207"/>
      <c r="E29" s="208"/>
      <c r="F29" s="207"/>
      <c r="G29" s="208"/>
      <c r="H29" s="212"/>
      <c r="I29" s="213"/>
    </row>
    <row r="30" spans="2:9" x14ac:dyDescent="0.25">
      <c r="B30" s="131" t="s">
        <v>165</v>
      </c>
      <c r="C30" s="133"/>
      <c r="D30" s="207"/>
      <c r="E30" s="208"/>
      <c r="F30" s="207"/>
      <c r="G30" s="208"/>
      <c r="H30" s="212"/>
      <c r="I30" s="213"/>
    </row>
    <row r="31" spans="2:9" x14ac:dyDescent="0.25">
      <c r="B31" s="131" t="s">
        <v>165</v>
      </c>
      <c r="C31" s="133"/>
      <c r="D31" s="207"/>
      <c r="E31" s="208"/>
      <c r="F31" s="207"/>
      <c r="G31" s="208"/>
      <c r="H31" s="212"/>
      <c r="I31" s="213"/>
    </row>
    <row r="32" spans="2:9" x14ac:dyDescent="0.25">
      <c r="B32" s="131" t="s">
        <v>165</v>
      </c>
      <c r="C32" s="133"/>
      <c r="D32" s="207"/>
      <c r="E32" s="208"/>
      <c r="F32" s="207"/>
      <c r="G32" s="208"/>
      <c r="H32" s="212"/>
      <c r="I32" s="213"/>
    </row>
    <row r="33" spans="2:9" x14ac:dyDescent="0.25">
      <c r="B33" s="131" t="s">
        <v>50</v>
      </c>
      <c r="C33" s="132"/>
      <c r="D33" s="132"/>
      <c r="E33" s="132"/>
      <c r="F33" s="132"/>
      <c r="G33" s="132"/>
      <c r="H33" s="220">
        <f>SUM(H24:I32)</f>
        <v>0</v>
      </c>
      <c r="I33" s="220"/>
    </row>
    <row r="35" spans="2:9" ht="15" customHeight="1" x14ac:dyDescent="0.25">
      <c r="B35" s="204" t="s">
        <v>2</v>
      </c>
      <c r="C35" s="205"/>
      <c r="D35" s="205"/>
      <c r="E35" s="205"/>
      <c r="F35" s="205"/>
      <c r="G35" s="205"/>
      <c r="H35" s="205"/>
      <c r="I35" s="206"/>
    </row>
    <row r="36" spans="2:9" ht="15" customHeight="1" x14ac:dyDescent="0.25">
      <c r="B36" s="29" t="str">
        <f>IF(ABS(H39-H21) &gt; H21*0.1, "Área do CAR diferente da área da CAF, realizar ajuste dos documentos.", "")</f>
        <v/>
      </c>
    </row>
    <row r="37" spans="2:9" ht="15" customHeight="1" x14ac:dyDescent="0.25">
      <c r="B37" s="80" t="s">
        <v>77</v>
      </c>
      <c r="C37" s="82"/>
      <c r="D37" s="93"/>
      <c r="E37" s="94"/>
      <c r="F37" s="94"/>
      <c r="G37" s="94"/>
      <c r="H37" s="94"/>
      <c r="I37" s="95"/>
    </row>
    <row r="38" spans="2:9" x14ac:dyDescent="0.25">
      <c r="B38" s="106" t="s">
        <v>78</v>
      </c>
      <c r="C38" s="106"/>
      <c r="D38" s="93"/>
      <c r="E38" s="94"/>
      <c r="F38" s="94"/>
      <c r="G38" s="94"/>
      <c r="H38" s="94"/>
      <c r="I38" s="95"/>
    </row>
    <row r="39" spans="2:9" ht="15" customHeight="1" x14ac:dyDescent="0.25">
      <c r="B39" s="80" t="s">
        <v>339</v>
      </c>
      <c r="C39" s="82"/>
      <c r="D39" s="93"/>
      <c r="E39" s="95"/>
      <c r="F39" s="152" t="s">
        <v>69</v>
      </c>
      <c r="G39" s="153"/>
      <c r="H39" s="93"/>
      <c r="I39" s="95"/>
    </row>
    <row r="40" spans="2:9" ht="15" customHeight="1" x14ac:dyDescent="0.25">
      <c r="B40" s="80" t="s">
        <v>79</v>
      </c>
      <c r="C40" s="81"/>
      <c r="D40" s="99"/>
      <c r="E40" s="99"/>
      <c r="F40" s="99"/>
      <c r="G40" s="99"/>
      <c r="H40" s="99"/>
      <c r="I40" s="99"/>
    </row>
    <row r="41" spans="2:9" x14ac:dyDescent="0.25">
      <c r="B41" s="80" t="s">
        <v>74</v>
      </c>
      <c r="C41" s="82"/>
      <c r="D41" s="100"/>
      <c r="E41" s="101"/>
      <c r="F41" s="96" t="s">
        <v>75</v>
      </c>
      <c r="G41" s="97"/>
      <c r="H41" s="98"/>
      <c r="I41" s="98"/>
    </row>
    <row r="42" spans="2:9" x14ac:dyDescent="0.25">
      <c r="B42" s="80" t="s">
        <v>76</v>
      </c>
      <c r="C42" s="82"/>
      <c r="D42" s="93"/>
      <c r="E42" s="95"/>
      <c r="F42" s="96" t="s">
        <v>66</v>
      </c>
      <c r="G42" s="97"/>
      <c r="H42" s="99"/>
      <c r="I42" s="99"/>
    </row>
    <row r="43" spans="2:9" x14ac:dyDescent="0.25">
      <c r="B43" s="80" t="s">
        <v>73</v>
      </c>
      <c r="C43" s="82"/>
      <c r="D43" s="93"/>
      <c r="E43" s="95"/>
      <c r="F43" s="96" t="s">
        <v>340</v>
      </c>
      <c r="G43" s="97"/>
      <c r="H43" s="99"/>
      <c r="I43" s="99"/>
    </row>
    <row r="44" spans="2:9" ht="15" customHeight="1" x14ac:dyDescent="0.25">
      <c r="B44" s="106" t="s">
        <v>72</v>
      </c>
      <c r="C44" s="106"/>
      <c r="D44" s="93"/>
      <c r="E44" s="95"/>
      <c r="F44" s="214" t="s">
        <v>304</v>
      </c>
      <c r="G44" s="214"/>
      <c r="H44" s="93"/>
      <c r="I44" s="95"/>
    </row>
    <row r="45" spans="2:9" ht="15" customHeight="1" x14ac:dyDescent="0.25">
      <c r="B45" s="80" t="s">
        <v>254</v>
      </c>
      <c r="C45" s="82"/>
      <c r="D45" s="93"/>
      <c r="E45" s="94"/>
      <c r="F45" s="94"/>
      <c r="G45" s="94"/>
      <c r="H45" s="94"/>
      <c r="I45" s="95"/>
    </row>
    <row r="46" spans="2:9" ht="15" customHeight="1" x14ac:dyDescent="0.25">
      <c r="B46" s="78" t="s">
        <v>70</v>
      </c>
      <c r="C46" s="87"/>
      <c r="D46" s="93"/>
      <c r="E46" s="95"/>
      <c r="F46" s="152" t="s">
        <v>341</v>
      </c>
      <c r="G46" s="153"/>
      <c r="H46" s="93"/>
      <c r="I46" s="95"/>
    </row>
    <row r="47" spans="2:9" ht="15" customHeight="1" x14ac:dyDescent="0.25">
      <c r="B47" s="78" t="s">
        <v>71</v>
      </c>
      <c r="C47" s="87"/>
      <c r="D47" s="93"/>
      <c r="E47" s="95"/>
      <c r="F47" s="152" t="s">
        <v>255</v>
      </c>
      <c r="G47" s="153"/>
      <c r="H47" s="93"/>
      <c r="I47" s="95"/>
    </row>
    <row r="48" spans="2:9" x14ac:dyDescent="0.25">
      <c r="B48" s="31" t="str">
        <f>IF(D45="Analisado, aguardando atendimento à notificação","Regularizar o CAR antes da Internalização da proposta","")</f>
        <v/>
      </c>
      <c r="C48" s="9"/>
      <c r="D48" s="9"/>
      <c r="E48" s="9"/>
      <c r="F48" s="9"/>
      <c r="G48" s="9"/>
      <c r="H48" s="9"/>
      <c r="I48" s="9"/>
    </row>
    <row r="49" spans="2:9" ht="16.5" customHeight="1" x14ac:dyDescent="0.25">
      <c r="B49" s="72" t="s">
        <v>4</v>
      </c>
      <c r="C49" s="72"/>
      <c r="D49" s="72"/>
      <c r="E49" s="72"/>
      <c r="F49" s="72"/>
      <c r="G49" s="72"/>
      <c r="H49" s="72"/>
      <c r="I49" s="72"/>
    </row>
    <row r="50" spans="2:9" ht="16.5" customHeight="1" x14ac:dyDescent="0.25"/>
    <row r="51" spans="2:9" x14ac:dyDescent="0.25">
      <c r="B51" s="77" t="s">
        <v>344</v>
      </c>
      <c r="C51" s="77"/>
      <c r="D51" s="186" t="s">
        <v>343</v>
      </c>
      <c r="E51" s="186"/>
      <c r="F51" s="186"/>
      <c r="G51" s="137" t="s">
        <v>345</v>
      </c>
      <c r="H51" s="183"/>
      <c r="I51" s="138"/>
    </row>
    <row r="52" spans="2:9" x14ac:dyDescent="0.25">
      <c r="B52" s="139"/>
      <c r="C52" s="140"/>
      <c r="D52" s="139"/>
      <c r="E52" s="141"/>
      <c r="F52" s="140"/>
      <c r="G52" s="139"/>
      <c r="H52" s="141"/>
      <c r="I52" s="140"/>
    </row>
    <row r="53" spans="2:9" x14ac:dyDescent="0.25">
      <c r="B53" s="77" t="s">
        <v>346</v>
      </c>
      <c r="C53" s="77"/>
      <c r="D53" s="186" t="s">
        <v>347</v>
      </c>
      <c r="E53" s="186"/>
      <c r="F53" s="186"/>
      <c r="G53" s="186" t="s">
        <v>348</v>
      </c>
      <c r="H53" s="186"/>
      <c r="I53" s="186"/>
    </row>
    <row r="54" spans="2:9" x14ac:dyDescent="0.25">
      <c r="B54" s="139"/>
      <c r="C54" s="140"/>
      <c r="D54" s="139"/>
      <c r="E54" s="141"/>
      <c r="F54" s="140"/>
      <c r="G54" s="139"/>
      <c r="H54" s="141"/>
      <c r="I54" s="140"/>
    </row>
    <row r="55" spans="2:9" x14ac:dyDescent="0.25">
      <c r="B55" s="106" t="s">
        <v>67</v>
      </c>
      <c r="C55" s="106"/>
      <c r="D55" s="14" t="s">
        <v>68</v>
      </c>
      <c r="E55" s="14" t="s">
        <v>5</v>
      </c>
      <c r="F55" s="185" t="s">
        <v>6</v>
      </c>
      <c r="G55" s="185"/>
      <c r="H55" s="185" t="s">
        <v>342</v>
      </c>
      <c r="I55" s="185"/>
    </row>
    <row r="56" spans="2:9" x14ac:dyDescent="0.25">
      <c r="B56" s="160"/>
      <c r="C56" s="161"/>
      <c r="D56" s="32"/>
      <c r="E56" s="33"/>
      <c r="F56" s="160"/>
      <c r="G56" s="161"/>
      <c r="H56" s="156"/>
      <c r="I56" s="157"/>
    </row>
    <row r="57" spans="2:9" x14ac:dyDescent="0.25">
      <c r="B57" s="160"/>
      <c r="C57" s="161"/>
      <c r="D57" s="32"/>
      <c r="E57" s="33"/>
      <c r="F57" s="160"/>
      <c r="G57" s="161"/>
      <c r="H57" s="156"/>
      <c r="I57" s="157"/>
    </row>
    <row r="58" spans="2:9" x14ac:dyDescent="0.25">
      <c r="B58" s="160"/>
      <c r="C58" s="161"/>
      <c r="D58" s="32"/>
      <c r="E58" s="33"/>
      <c r="F58" s="160"/>
      <c r="G58" s="161"/>
      <c r="H58" s="156"/>
      <c r="I58" s="157"/>
    </row>
    <row r="59" spans="2:9" x14ac:dyDescent="0.25">
      <c r="B59" s="160"/>
      <c r="C59" s="161"/>
      <c r="D59" s="32"/>
      <c r="E59" s="33"/>
      <c r="F59" s="160"/>
      <c r="G59" s="161"/>
      <c r="H59" s="156"/>
      <c r="I59" s="157"/>
    </row>
    <row r="60" spans="2:9" x14ac:dyDescent="0.25">
      <c r="B60" s="154"/>
      <c r="C60" s="155"/>
      <c r="D60" s="34"/>
      <c r="E60" s="35"/>
      <c r="F60" s="154"/>
      <c r="G60" s="155"/>
      <c r="H60" s="158"/>
      <c r="I60" s="159"/>
    </row>
    <row r="61" spans="2:9" x14ac:dyDescent="0.25">
      <c r="B61" s="168" t="s">
        <v>50</v>
      </c>
      <c r="C61" s="169"/>
      <c r="D61" s="169"/>
      <c r="E61" s="169"/>
      <c r="F61" s="169"/>
      <c r="G61" s="170"/>
      <c r="H61" s="70">
        <f>SUM(H56:I60)</f>
        <v>0</v>
      </c>
      <c r="I61" s="71"/>
    </row>
    <row r="63" spans="2:9" x14ac:dyDescent="0.25">
      <c r="B63" s="187" t="s">
        <v>7</v>
      </c>
      <c r="C63" s="187"/>
      <c r="D63" s="187"/>
      <c r="E63" s="187"/>
      <c r="F63" s="187"/>
      <c r="G63" s="187"/>
      <c r="H63" s="188" t="s">
        <v>8</v>
      </c>
      <c r="I63" s="188"/>
    </row>
    <row r="64" spans="2:9" x14ac:dyDescent="0.25">
      <c r="B64" s="146" t="s">
        <v>9</v>
      </c>
      <c r="C64" s="146"/>
      <c r="D64" s="146"/>
      <c r="E64" s="146"/>
      <c r="F64" s="146"/>
      <c r="G64" s="146"/>
      <c r="H64" s="144"/>
      <c r="I64" s="145"/>
    </row>
    <row r="65" spans="2:12" x14ac:dyDescent="0.25">
      <c r="B65" s="146" t="s">
        <v>10</v>
      </c>
      <c r="C65" s="146"/>
      <c r="D65" s="146"/>
      <c r="E65" s="146"/>
      <c r="F65" s="146"/>
      <c r="G65" s="146"/>
      <c r="H65" s="144"/>
      <c r="I65" s="145"/>
    </row>
    <row r="66" spans="2:12" x14ac:dyDescent="0.25">
      <c r="B66" s="146" t="s">
        <v>11</v>
      </c>
      <c r="C66" s="146"/>
      <c r="D66" s="146"/>
      <c r="E66" s="146"/>
      <c r="F66" s="146"/>
      <c r="G66" s="146"/>
      <c r="H66" s="144"/>
      <c r="I66" s="145"/>
    </row>
    <row r="67" spans="2:12" x14ac:dyDescent="0.25">
      <c r="B67" s="146" t="s">
        <v>12</v>
      </c>
      <c r="C67" s="146"/>
      <c r="D67" s="146"/>
      <c r="E67" s="146"/>
      <c r="F67" s="146"/>
      <c r="G67" s="146"/>
      <c r="H67" s="144"/>
      <c r="I67" s="145"/>
    </row>
    <row r="68" spans="2:12" x14ac:dyDescent="0.25">
      <c r="B68" s="146" t="s">
        <v>13</v>
      </c>
      <c r="C68" s="146"/>
      <c r="D68" s="146"/>
      <c r="E68" s="146"/>
      <c r="F68" s="146"/>
      <c r="G68" s="146"/>
      <c r="H68" s="144"/>
      <c r="I68" s="145"/>
    </row>
    <row r="69" spans="2:12" x14ac:dyDescent="0.25">
      <c r="B69" s="146" t="s">
        <v>14</v>
      </c>
      <c r="C69" s="146"/>
      <c r="D69" s="146"/>
      <c r="E69" s="146"/>
      <c r="F69" s="146"/>
      <c r="G69" s="146"/>
      <c r="H69" s="144"/>
      <c r="I69" s="145"/>
    </row>
    <row r="70" spans="2:12" x14ac:dyDescent="0.25">
      <c r="B70" s="146" t="s">
        <v>15</v>
      </c>
      <c r="C70" s="146"/>
      <c r="D70" s="146"/>
      <c r="E70" s="146"/>
      <c r="F70" s="146"/>
      <c r="G70" s="146"/>
      <c r="H70" s="144"/>
      <c r="I70" s="145"/>
    </row>
    <row r="71" spans="2:12" x14ac:dyDescent="0.25">
      <c r="B71" s="146" t="s">
        <v>16</v>
      </c>
      <c r="C71" s="146"/>
      <c r="D71" s="146"/>
      <c r="E71" s="146"/>
      <c r="F71" s="146"/>
      <c r="G71" s="146"/>
      <c r="H71" s="144"/>
      <c r="I71" s="145"/>
    </row>
    <row r="72" spans="2:12" x14ac:dyDescent="0.25">
      <c r="B72" s="146" t="s">
        <v>17</v>
      </c>
      <c r="C72" s="146"/>
      <c r="D72" s="146"/>
      <c r="E72" s="146"/>
      <c r="F72" s="146"/>
      <c r="G72" s="146"/>
      <c r="H72" s="144"/>
      <c r="I72" s="145"/>
    </row>
    <row r="73" spans="2:12" x14ac:dyDescent="0.25">
      <c r="B73" s="146" t="s">
        <v>18</v>
      </c>
      <c r="C73" s="146"/>
      <c r="D73" s="146"/>
      <c r="E73" s="146"/>
      <c r="F73" s="146"/>
      <c r="G73" s="146"/>
      <c r="H73" s="144"/>
      <c r="I73" s="145"/>
    </row>
    <row r="74" spans="2:12" x14ac:dyDescent="0.25">
      <c r="B74" s="146" t="s">
        <v>80</v>
      </c>
      <c r="C74" s="146"/>
      <c r="D74" s="146"/>
      <c r="E74" s="146"/>
      <c r="F74" s="146"/>
      <c r="G74" s="146"/>
      <c r="H74" s="125">
        <f>SUM(H64:I73)*0.2</f>
        <v>0</v>
      </c>
      <c r="I74" s="126"/>
    </row>
    <row r="75" spans="2:12" x14ac:dyDescent="0.25">
      <c r="B75" s="149" t="s">
        <v>50</v>
      </c>
      <c r="C75" s="150"/>
      <c r="D75" s="150"/>
      <c r="E75" s="150"/>
      <c r="F75" s="150"/>
      <c r="G75" s="151"/>
      <c r="H75" s="125">
        <f>SUM(H64:I74)</f>
        <v>0</v>
      </c>
      <c r="I75" s="126"/>
    </row>
    <row r="76" spans="2:12" x14ac:dyDescent="0.25">
      <c r="B76" s="15"/>
    </row>
    <row r="77" spans="2:12" ht="16.5" customHeight="1" x14ac:dyDescent="0.25">
      <c r="B77" s="72" t="s">
        <v>19</v>
      </c>
      <c r="C77" s="72"/>
      <c r="D77" s="72"/>
      <c r="E77" s="72"/>
      <c r="F77" s="72"/>
      <c r="G77" s="72"/>
      <c r="H77" s="72"/>
      <c r="I77" s="72"/>
    </row>
    <row r="78" spans="2:12" ht="16.5" customHeight="1" x14ac:dyDescent="0.25"/>
    <row r="79" spans="2:12" ht="16.5" customHeight="1" x14ac:dyDescent="0.25">
      <c r="B79" s="130" t="s">
        <v>20</v>
      </c>
      <c r="C79" s="130"/>
      <c r="D79" s="130"/>
      <c r="E79" s="130"/>
      <c r="F79" s="130"/>
      <c r="G79" s="130"/>
      <c r="H79" s="130"/>
      <c r="I79" s="130"/>
    </row>
    <row r="80" spans="2:12" ht="16.5" customHeight="1" x14ac:dyDescent="0.25">
      <c r="B80" s="77" t="s">
        <v>82</v>
      </c>
      <c r="C80" s="77"/>
      <c r="D80" s="137" t="s">
        <v>85</v>
      </c>
      <c r="E80" s="183"/>
      <c r="F80" s="138"/>
      <c r="G80" s="137" t="s">
        <v>86</v>
      </c>
      <c r="H80" s="183"/>
      <c r="I80" s="138"/>
      <c r="L80" s="2"/>
    </row>
    <row r="81" spans="2:9" ht="16.5" customHeight="1" x14ac:dyDescent="0.25">
      <c r="B81" s="102"/>
      <c r="C81" s="102"/>
      <c r="D81" s="139"/>
      <c r="E81" s="141"/>
      <c r="F81" s="140"/>
      <c r="G81" s="139"/>
      <c r="H81" s="141"/>
      <c r="I81" s="140"/>
    </row>
    <row r="82" spans="2:9" ht="27.75" customHeight="1" x14ac:dyDescent="0.25">
      <c r="B82" s="189" t="s">
        <v>142</v>
      </c>
      <c r="C82" s="190"/>
      <c r="D82" s="195" t="s">
        <v>143</v>
      </c>
      <c r="E82" s="196"/>
      <c r="F82" s="196"/>
      <c r="G82" s="196"/>
      <c r="H82" s="196"/>
      <c r="I82" s="197"/>
    </row>
    <row r="83" spans="2:9" ht="27.75" customHeight="1" x14ac:dyDescent="0.25">
      <c r="B83" s="191"/>
      <c r="C83" s="192"/>
      <c r="D83" s="198"/>
      <c r="E83" s="199"/>
      <c r="F83" s="199"/>
      <c r="G83" s="199"/>
      <c r="H83" s="199"/>
      <c r="I83" s="200"/>
    </row>
    <row r="84" spans="2:9" ht="27.75" customHeight="1" x14ac:dyDescent="0.25">
      <c r="B84" s="193"/>
      <c r="C84" s="194"/>
      <c r="D84" s="201"/>
      <c r="E84" s="202"/>
      <c r="F84" s="202"/>
      <c r="G84" s="202"/>
      <c r="H84" s="202"/>
      <c r="I84" s="203"/>
    </row>
    <row r="85" spans="2:9" ht="16.5" customHeight="1" x14ac:dyDescent="0.25">
      <c r="B85" s="77" t="s">
        <v>349</v>
      </c>
      <c r="C85" s="77"/>
      <c r="D85" s="77"/>
      <c r="E85" s="77"/>
      <c r="F85" s="77"/>
      <c r="G85" s="77"/>
      <c r="H85" s="77"/>
      <c r="I85" s="77"/>
    </row>
    <row r="86" spans="2:9" ht="16.5" customHeight="1" x14ac:dyDescent="0.25">
      <c r="B86" s="147"/>
      <c r="C86" s="148"/>
      <c r="D86" s="148"/>
      <c r="E86" s="148"/>
      <c r="F86" s="148"/>
      <c r="G86" s="148"/>
      <c r="H86" s="148"/>
      <c r="I86" s="148"/>
    </row>
    <row r="87" spans="2:9" ht="16.5" customHeight="1" x14ac:dyDescent="0.25">
      <c r="B87" s="148"/>
      <c r="C87" s="148"/>
      <c r="D87" s="148"/>
      <c r="E87" s="148"/>
      <c r="F87" s="148"/>
      <c r="G87" s="148"/>
      <c r="H87" s="148"/>
      <c r="I87" s="148"/>
    </row>
    <row r="88" spans="2:9" ht="16.5" customHeight="1" x14ac:dyDescent="0.25">
      <c r="B88" s="148"/>
      <c r="C88" s="148"/>
      <c r="D88" s="148"/>
      <c r="E88" s="148"/>
      <c r="F88" s="148"/>
      <c r="G88" s="148"/>
      <c r="H88" s="148"/>
      <c r="I88" s="148"/>
    </row>
    <row r="89" spans="2:9" ht="16.5" customHeight="1" x14ac:dyDescent="0.25">
      <c r="B89" s="148"/>
      <c r="C89" s="148"/>
      <c r="D89" s="148"/>
      <c r="E89" s="148"/>
      <c r="F89" s="148"/>
      <c r="G89" s="148"/>
      <c r="H89" s="148"/>
      <c r="I89" s="148"/>
    </row>
    <row r="90" spans="2:9" ht="16.5" customHeight="1" x14ac:dyDescent="0.25">
      <c r="B90" s="148"/>
      <c r="C90" s="148"/>
      <c r="D90" s="148"/>
      <c r="E90" s="148"/>
      <c r="F90" s="148"/>
      <c r="G90" s="148"/>
      <c r="H90" s="148"/>
      <c r="I90" s="148"/>
    </row>
    <row r="91" spans="2:9" ht="16.5" customHeight="1" x14ac:dyDescent="0.25">
      <c r="B91" s="77" t="s">
        <v>324</v>
      </c>
      <c r="C91" s="77"/>
      <c r="D91" s="77"/>
      <c r="E91" s="77"/>
      <c r="F91" s="186" t="s">
        <v>312</v>
      </c>
      <c r="G91" s="186"/>
      <c r="H91" s="186"/>
      <c r="I91" s="186"/>
    </row>
    <row r="92" spans="2:9" ht="16.5" customHeight="1" x14ac:dyDescent="0.25">
      <c r="B92" s="139"/>
      <c r="C92" s="141"/>
      <c r="D92" s="141"/>
      <c r="E92" s="140"/>
      <c r="F92" s="139"/>
      <c r="G92" s="141"/>
      <c r="H92" s="141"/>
      <c r="I92" s="140"/>
    </row>
    <row r="93" spans="2:9" ht="16.5" customHeight="1" x14ac:dyDescent="0.25">
      <c r="B93" s="45" t="s">
        <v>325</v>
      </c>
    </row>
    <row r="94" spans="2:9" ht="16.5" customHeight="1" x14ac:dyDescent="0.25">
      <c r="B94" s="130" t="s">
        <v>21</v>
      </c>
      <c r="C94" s="130"/>
      <c r="D94" s="130"/>
      <c r="E94" s="130"/>
      <c r="F94" s="130"/>
      <c r="G94" s="130"/>
      <c r="H94" s="130"/>
      <c r="I94" s="130"/>
    </row>
    <row r="95" spans="2:9" ht="16.5" customHeight="1" x14ac:dyDescent="0.25">
      <c r="B95" s="89" t="s">
        <v>22</v>
      </c>
      <c r="C95" s="89"/>
      <c r="D95" s="89"/>
      <c r="E95" s="89"/>
      <c r="F95" s="89"/>
      <c r="G95" s="89"/>
      <c r="H95" s="128" t="s">
        <v>8</v>
      </c>
      <c r="I95" s="128"/>
    </row>
    <row r="96" spans="2:9" ht="16.5" customHeight="1" x14ac:dyDescent="0.25">
      <c r="B96" s="77" t="s">
        <v>23</v>
      </c>
      <c r="C96" s="77"/>
      <c r="D96" s="77"/>
      <c r="E96" s="77"/>
      <c r="F96" s="77"/>
      <c r="G96" s="77"/>
      <c r="H96" s="136"/>
      <c r="I96" s="136"/>
    </row>
    <row r="97" spans="2:9" ht="16.5" customHeight="1" x14ac:dyDescent="0.25">
      <c r="B97" s="77" t="s">
        <v>153</v>
      </c>
      <c r="C97" s="77"/>
      <c r="D97" s="77"/>
      <c r="E97" s="77"/>
      <c r="F97" s="77"/>
      <c r="G97" s="77"/>
      <c r="H97" s="136"/>
      <c r="I97" s="136"/>
    </row>
    <row r="98" spans="2:9" ht="16.5" customHeight="1" x14ac:dyDescent="0.25">
      <c r="B98" s="77" t="s">
        <v>24</v>
      </c>
      <c r="C98" s="77"/>
      <c r="D98" s="77"/>
      <c r="E98" s="77"/>
      <c r="F98" s="77"/>
      <c r="G98" s="77"/>
      <c r="H98" s="136"/>
      <c r="I98" s="136"/>
    </row>
    <row r="99" spans="2:9" ht="16.5" customHeight="1" x14ac:dyDescent="0.25">
      <c r="B99" s="77" t="s">
        <v>281</v>
      </c>
      <c r="C99" s="77"/>
      <c r="D99" s="77"/>
      <c r="E99" s="77"/>
      <c r="F99" s="77"/>
      <c r="G99" s="77"/>
      <c r="H99" s="136"/>
      <c r="I99" s="136"/>
    </row>
    <row r="100" spans="2:9" ht="16.5" customHeight="1" x14ac:dyDescent="0.25">
      <c r="B100" s="89" t="s">
        <v>278</v>
      </c>
      <c r="C100" s="89"/>
      <c r="D100" s="89"/>
      <c r="E100" s="89"/>
      <c r="F100" s="89"/>
      <c r="G100" s="89"/>
      <c r="H100" s="90">
        <f>SUM(H96:I99)</f>
        <v>0</v>
      </c>
      <c r="I100" s="90"/>
    </row>
    <row r="101" spans="2:9" ht="16.5" customHeight="1" x14ac:dyDescent="0.25">
      <c r="B101" s="89" t="s">
        <v>25</v>
      </c>
      <c r="C101" s="89"/>
      <c r="D101" s="89"/>
      <c r="E101" s="89"/>
      <c r="F101" s="89"/>
      <c r="G101" s="89"/>
      <c r="H101" s="128" t="s">
        <v>8</v>
      </c>
      <c r="I101" s="128"/>
    </row>
    <row r="102" spans="2:9" ht="16.5" customHeight="1" x14ac:dyDescent="0.25">
      <c r="B102" s="77" t="s">
        <v>26</v>
      </c>
      <c r="C102" s="77"/>
      <c r="D102" s="77"/>
      <c r="E102" s="77"/>
      <c r="F102" s="77"/>
      <c r="G102" s="77"/>
      <c r="H102" s="136"/>
      <c r="I102" s="136"/>
    </row>
    <row r="103" spans="2:9" ht="16.5" customHeight="1" x14ac:dyDescent="0.25">
      <c r="B103" s="77" t="s">
        <v>27</v>
      </c>
      <c r="C103" s="77"/>
      <c r="D103" s="77"/>
      <c r="E103" s="77"/>
      <c r="F103" s="77"/>
      <c r="G103" s="77"/>
      <c r="H103" s="136"/>
      <c r="I103" s="136"/>
    </row>
    <row r="104" spans="2:9" ht="16.5" customHeight="1" x14ac:dyDescent="0.25">
      <c r="B104" s="77" t="s">
        <v>28</v>
      </c>
      <c r="C104" s="77"/>
      <c r="D104" s="77"/>
      <c r="E104" s="77"/>
      <c r="F104" s="77"/>
      <c r="G104" s="77"/>
      <c r="H104" s="136"/>
      <c r="I104" s="136"/>
    </row>
    <row r="105" spans="2:9" ht="16.5" customHeight="1" x14ac:dyDescent="0.25">
      <c r="B105" s="77" t="s">
        <v>29</v>
      </c>
      <c r="C105" s="77"/>
      <c r="D105" s="77"/>
      <c r="E105" s="77"/>
      <c r="F105" s="77"/>
      <c r="G105" s="77"/>
      <c r="H105" s="136"/>
      <c r="I105" s="136"/>
    </row>
    <row r="106" spans="2:9" ht="16.5" customHeight="1" x14ac:dyDescent="0.25">
      <c r="B106" s="77" t="s">
        <v>30</v>
      </c>
      <c r="C106" s="77"/>
      <c r="D106" s="77"/>
      <c r="E106" s="77"/>
      <c r="F106" s="77"/>
      <c r="G106" s="77"/>
      <c r="H106" s="136"/>
      <c r="I106" s="136"/>
    </row>
    <row r="107" spans="2:9" ht="16.5" customHeight="1" x14ac:dyDescent="0.25">
      <c r="B107" s="77" t="s">
        <v>18</v>
      </c>
      <c r="C107" s="77"/>
      <c r="D107" s="77"/>
      <c r="E107" s="77"/>
      <c r="F107" s="77"/>
      <c r="G107" s="77"/>
      <c r="H107" s="136"/>
      <c r="I107" s="136"/>
    </row>
    <row r="108" spans="2:9" ht="16.5" customHeight="1" x14ac:dyDescent="0.25">
      <c r="B108" s="89" t="s">
        <v>277</v>
      </c>
      <c r="C108" s="89"/>
      <c r="D108" s="89"/>
      <c r="E108" s="89"/>
      <c r="F108" s="89"/>
      <c r="G108" s="89"/>
      <c r="H108" s="90">
        <f>SUM(H102:I107)</f>
        <v>0</v>
      </c>
      <c r="I108" s="90"/>
    </row>
    <row r="109" spans="2:9" ht="16.5" customHeight="1" x14ac:dyDescent="0.25">
      <c r="B109" s="89" t="s">
        <v>31</v>
      </c>
      <c r="C109" s="89"/>
      <c r="D109" s="89"/>
      <c r="E109" s="89"/>
      <c r="F109" s="89"/>
      <c r="G109" s="89"/>
      <c r="H109" s="128" t="s">
        <v>32</v>
      </c>
      <c r="I109" s="128"/>
    </row>
    <row r="110" spans="2:9" ht="16.5" customHeight="1" x14ac:dyDescent="0.25">
      <c r="B110" s="77" t="s">
        <v>33</v>
      </c>
      <c r="C110" s="77"/>
      <c r="D110" s="77"/>
      <c r="E110" s="77"/>
      <c r="F110" s="77"/>
      <c r="G110" s="77"/>
      <c r="H110" s="136"/>
      <c r="I110" s="136"/>
    </row>
    <row r="111" spans="2:9" ht="16.5" customHeight="1" x14ac:dyDescent="0.25">
      <c r="B111" s="77" t="s">
        <v>34</v>
      </c>
      <c r="C111" s="77"/>
      <c r="D111" s="77"/>
      <c r="E111" s="77"/>
      <c r="F111" s="77"/>
      <c r="G111" s="77"/>
      <c r="H111" s="136"/>
      <c r="I111" s="136"/>
    </row>
    <row r="112" spans="2:9" ht="16.5" customHeight="1" x14ac:dyDescent="0.25">
      <c r="B112" s="77" t="s">
        <v>35</v>
      </c>
      <c r="C112" s="77"/>
      <c r="D112" s="77"/>
      <c r="E112" s="77"/>
      <c r="F112" s="77"/>
      <c r="G112" s="77"/>
      <c r="H112" s="136"/>
      <c r="I112" s="136"/>
    </row>
    <row r="113" spans="2:9" ht="16.5" customHeight="1" x14ac:dyDescent="0.25">
      <c r="B113" s="89" t="s">
        <v>276</v>
      </c>
      <c r="C113" s="89"/>
      <c r="D113" s="89"/>
      <c r="E113" s="89"/>
      <c r="F113" s="89"/>
      <c r="G113" s="89"/>
      <c r="H113" s="90">
        <f>SUM(H110:I112)</f>
        <v>0</v>
      </c>
      <c r="I113" s="90"/>
    </row>
    <row r="114" spans="2:9" ht="16.5" customHeight="1" x14ac:dyDescent="0.25">
      <c r="B114" s="30" t="str">
        <f>IF(SUM(D118:I118)&gt;100,"Compra: Valor não pode passar de 100.","")</f>
        <v/>
      </c>
      <c r="C114" s="6"/>
      <c r="D114" s="6"/>
      <c r="E114" s="6"/>
      <c r="F114" s="6"/>
      <c r="G114" s="217" t="str">
        <f>IF(SUM(D119:I119)&gt;100,"Venda: Valor não pode passar de 100.","")</f>
        <v/>
      </c>
      <c r="H114" s="217"/>
      <c r="I114" s="217"/>
    </row>
    <row r="115" spans="2:9" ht="16.5" customHeight="1" x14ac:dyDescent="0.25">
      <c r="B115" s="72" t="s">
        <v>36</v>
      </c>
      <c r="C115" s="72"/>
      <c r="D115" s="72"/>
      <c r="E115" s="72"/>
      <c r="F115" s="72"/>
      <c r="G115" s="72"/>
      <c r="H115" s="72"/>
      <c r="I115" s="72"/>
    </row>
    <row r="116" spans="2:9" ht="16.5" customHeight="1" x14ac:dyDescent="0.25">
      <c r="B116" s="130" t="s">
        <v>154</v>
      </c>
      <c r="C116" s="130"/>
      <c r="D116" s="130"/>
      <c r="E116" s="130"/>
      <c r="F116" s="130"/>
      <c r="G116" s="130"/>
      <c r="H116" s="130"/>
      <c r="I116" s="130"/>
    </row>
    <row r="117" spans="2:9" ht="16.5" customHeight="1" x14ac:dyDescent="0.25">
      <c r="B117" s="113" t="s">
        <v>37</v>
      </c>
      <c r="C117" s="114"/>
      <c r="D117" s="162" t="s">
        <v>156</v>
      </c>
      <c r="E117" s="163"/>
      <c r="F117" s="164"/>
      <c r="G117" s="162" t="s">
        <v>155</v>
      </c>
      <c r="H117" s="163"/>
      <c r="I117" s="164"/>
    </row>
    <row r="118" spans="2:9" ht="16.5" customHeight="1" x14ac:dyDescent="0.25">
      <c r="B118" s="78" t="s">
        <v>157</v>
      </c>
      <c r="C118" s="87"/>
      <c r="D118" s="139"/>
      <c r="E118" s="141"/>
      <c r="F118" s="140"/>
      <c r="G118" s="139"/>
      <c r="H118" s="141"/>
      <c r="I118" s="140"/>
    </row>
    <row r="119" spans="2:9" ht="16.5" customHeight="1" x14ac:dyDescent="0.25">
      <c r="B119" s="78" t="s">
        <v>38</v>
      </c>
      <c r="C119" s="87"/>
      <c r="D119" s="139"/>
      <c r="E119" s="141"/>
      <c r="F119" s="140"/>
      <c r="G119" s="139"/>
      <c r="H119" s="141"/>
      <c r="I119" s="140"/>
    </row>
    <row r="120" spans="2:9" ht="16.5" customHeight="1" x14ac:dyDescent="0.25"/>
    <row r="121" spans="2:9" ht="16.5" customHeight="1" x14ac:dyDescent="0.25">
      <c r="B121" s="130" t="s">
        <v>158</v>
      </c>
      <c r="C121" s="130"/>
      <c r="D121" s="130"/>
      <c r="E121" s="130"/>
      <c r="F121" s="130"/>
      <c r="G121" s="130"/>
      <c r="H121" s="130"/>
      <c r="I121" s="130"/>
    </row>
    <row r="122" spans="2:9" ht="16.5" customHeight="1" x14ac:dyDescent="0.25">
      <c r="B122" s="218" t="s">
        <v>39</v>
      </c>
      <c r="C122" s="219"/>
      <c r="D122" s="218" t="s">
        <v>40</v>
      </c>
      <c r="E122" s="219"/>
      <c r="F122" s="218" t="s">
        <v>41</v>
      </c>
      <c r="G122" s="219"/>
      <c r="H122" s="218" t="s">
        <v>42</v>
      </c>
      <c r="I122" s="219"/>
    </row>
    <row r="123" spans="2:9" ht="16.5" customHeight="1" x14ac:dyDescent="0.25">
      <c r="B123" s="146" t="s">
        <v>43</v>
      </c>
      <c r="C123" s="146"/>
      <c r="D123" s="139"/>
      <c r="E123" s="140"/>
      <c r="F123" s="144"/>
      <c r="G123" s="145"/>
      <c r="H123" s="216" t="s">
        <v>44</v>
      </c>
      <c r="I123" s="216"/>
    </row>
    <row r="124" spans="2:9" ht="16.5" customHeight="1" x14ac:dyDescent="0.25">
      <c r="B124" s="146" t="s">
        <v>43</v>
      </c>
      <c r="C124" s="146"/>
      <c r="D124" s="139"/>
      <c r="E124" s="140"/>
      <c r="F124" s="144"/>
      <c r="G124" s="145"/>
      <c r="H124" s="216" t="s">
        <v>45</v>
      </c>
      <c r="I124" s="216"/>
    </row>
    <row r="125" spans="2:9" ht="16.5" customHeight="1" x14ac:dyDescent="0.25">
      <c r="B125" s="146" t="s">
        <v>46</v>
      </c>
      <c r="C125" s="146"/>
      <c r="D125" s="139"/>
      <c r="E125" s="140"/>
      <c r="F125" s="144"/>
      <c r="G125" s="145"/>
      <c r="H125" s="216" t="s">
        <v>44</v>
      </c>
      <c r="I125" s="216"/>
    </row>
    <row r="126" spans="2:9" ht="16.5" customHeight="1" x14ac:dyDescent="0.25">
      <c r="B126" s="146" t="s">
        <v>46</v>
      </c>
      <c r="C126" s="146"/>
      <c r="D126" s="139"/>
      <c r="E126" s="140"/>
      <c r="F126" s="144"/>
      <c r="G126" s="145"/>
      <c r="H126" s="216" t="s">
        <v>45</v>
      </c>
      <c r="I126" s="216"/>
    </row>
    <row r="127" spans="2:9" ht="16.5" customHeight="1" x14ac:dyDescent="0.25">
      <c r="B127" s="113" t="s">
        <v>47</v>
      </c>
      <c r="C127" s="127"/>
      <c r="D127" s="127"/>
      <c r="E127" s="114"/>
      <c r="F127" s="162" t="s">
        <v>40</v>
      </c>
      <c r="G127" s="163"/>
      <c r="H127" s="163"/>
      <c r="I127" s="164"/>
    </row>
    <row r="128" spans="2:9" ht="16.5" customHeight="1" x14ac:dyDescent="0.25">
      <c r="B128" s="78" t="s">
        <v>43</v>
      </c>
      <c r="C128" s="86"/>
      <c r="D128" s="86"/>
      <c r="E128" s="87"/>
      <c r="F128" s="165"/>
      <c r="G128" s="166"/>
      <c r="H128" s="166"/>
      <c r="I128" s="167"/>
    </row>
    <row r="129" spans="2:9" ht="16.5" customHeight="1" x14ac:dyDescent="0.25">
      <c r="B129" s="78" t="s">
        <v>46</v>
      </c>
      <c r="C129" s="86"/>
      <c r="D129" s="86"/>
      <c r="E129" s="87"/>
      <c r="F129" s="165"/>
      <c r="G129" s="166"/>
      <c r="H129" s="166"/>
      <c r="I129" s="167"/>
    </row>
    <row r="130" spans="2:9" ht="16.5" customHeight="1" x14ac:dyDescent="0.25"/>
    <row r="131" spans="2:9" ht="16.5" customHeight="1" x14ac:dyDescent="0.25">
      <c r="B131" s="72" t="s">
        <v>350</v>
      </c>
      <c r="C131" s="72"/>
      <c r="D131" s="72"/>
      <c r="E131" s="72"/>
      <c r="F131" s="72"/>
      <c r="G131" s="72"/>
      <c r="H131" s="72"/>
      <c r="I131" s="72"/>
    </row>
    <row r="132" spans="2:9" ht="16.5" customHeight="1" x14ac:dyDescent="0.25"/>
    <row r="133" spans="2:9" ht="15" customHeight="1" x14ac:dyDescent="0.25">
      <c r="B133" s="130" t="s">
        <v>257</v>
      </c>
      <c r="C133" s="130"/>
      <c r="D133" s="130"/>
      <c r="E133" s="130"/>
      <c r="F133" s="130"/>
      <c r="G133" s="130"/>
      <c r="H133" s="130"/>
      <c r="I133" s="130"/>
    </row>
    <row r="134" spans="2:9" ht="15" customHeight="1" x14ac:dyDescent="0.25">
      <c r="B134" s="131" t="s">
        <v>163</v>
      </c>
      <c r="C134" s="133"/>
      <c r="D134" s="18" t="s">
        <v>48</v>
      </c>
      <c r="E134" s="18" t="s">
        <v>40</v>
      </c>
      <c r="F134" s="221" t="s">
        <v>49</v>
      </c>
      <c r="G134" s="134"/>
      <c r="H134" s="137" t="s">
        <v>210</v>
      </c>
      <c r="I134" s="138"/>
    </row>
    <row r="135" spans="2:9" x14ac:dyDescent="0.25">
      <c r="B135" s="131" t="str">
        <f t="shared" ref="B135:B143" si="0">IF(F24="","",F24)</f>
        <v/>
      </c>
      <c r="C135" s="133"/>
      <c r="D135" s="37"/>
      <c r="E135" s="37"/>
      <c r="F135" s="142"/>
      <c r="G135" s="143"/>
      <c r="H135" s="125">
        <f>F135*E135</f>
        <v>0</v>
      </c>
      <c r="I135" s="126"/>
    </row>
    <row r="136" spans="2:9" x14ac:dyDescent="0.25">
      <c r="B136" s="131" t="str">
        <f t="shared" si="0"/>
        <v/>
      </c>
      <c r="C136" s="133"/>
      <c r="D136" s="37"/>
      <c r="E136" s="37"/>
      <c r="F136" s="142"/>
      <c r="G136" s="143"/>
      <c r="H136" s="125">
        <f t="shared" ref="H136:H143" si="1">F136*E136</f>
        <v>0</v>
      </c>
      <c r="I136" s="126"/>
    </row>
    <row r="137" spans="2:9" x14ac:dyDescent="0.25">
      <c r="B137" s="131" t="str">
        <f t="shared" si="0"/>
        <v/>
      </c>
      <c r="C137" s="133"/>
      <c r="D137" s="37"/>
      <c r="E137" s="37"/>
      <c r="F137" s="142"/>
      <c r="G137" s="143"/>
      <c r="H137" s="125">
        <f t="shared" si="1"/>
        <v>0</v>
      </c>
      <c r="I137" s="126"/>
    </row>
    <row r="138" spans="2:9" x14ac:dyDescent="0.25">
      <c r="B138" s="131" t="str">
        <f t="shared" si="0"/>
        <v/>
      </c>
      <c r="C138" s="133"/>
      <c r="D138" s="37"/>
      <c r="E138" s="37"/>
      <c r="F138" s="142"/>
      <c r="G138" s="143"/>
      <c r="H138" s="125">
        <f t="shared" si="1"/>
        <v>0</v>
      </c>
      <c r="I138" s="126"/>
    </row>
    <row r="139" spans="2:9" x14ac:dyDescent="0.25">
      <c r="B139" s="131" t="str">
        <f t="shared" si="0"/>
        <v/>
      </c>
      <c r="C139" s="133"/>
      <c r="D139" s="37"/>
      <c r="E139" s="37"/>
      <c r="F139" s="142"/>
      <c r="G139" s="143"/>
      <c r="H139" s="125">
        <f t="shared" si="1"/>
        <v>0</v>
      </c>
      <c r="I139" s="126"/>
    </row>
    <row r="140" spans="2:9" x14ac:dyDescent="0.25">
      <c r="B140" s="131" t="str">
        <f t="shared" si="0"/>
        <v/>
      </c>
      <c r="C140" s="133"/>
      <c r="D140" s="37"/>
      <c r="E140" s="37"/>
      <c r="F140" s="142"/>
      <c r="G140" s="143"/>
      <c r="H140" s="125">
        <f t="shared" si="1"/>
        <v>0</v>
      </c>
      <c r="I140" s="126"/>
    </row>
    <row r="141" spans="2:9" x14ac:dyDescent="0.25">
      <c r="B141" s="131" t="str">
        <f t="shared" si="0"/>
        <v/>
      </c>
      <c r="C141" s="133"/>
      <c r="D141" s="37"/>
      <c r="E141" s="37"/>
      <c r="F141" s="142"/>
      <c r="G141" s="143"/>
      <c r="H141" s="125">
        <f t="shared" si="1"/>
        <v>0</v>
      </c>
      <c r="I141" s="126"/>
    </row>
    <row r="142" spans="2:9" x14ac:dyDescent="0.25">
      <c r="B142" s="131" t="str">
        <f t="shared" si="0"/>
        <v/>
      </c>
      <c r="C142" s="133"/>
      <c r="D142" s="37"/>
      <c r="E142" s="37"/>
      <c r="F142" s="142"/>
      <c r="G142" s="143"/>
      <c r="H142" s="125">
        <f t="shared" si="1"/>
        <v>0</v>
      </c>
      <c r="I142" s="126"/>
    </row>
    <row r="143" spans="2:9" x14ac:dyDescent="0.25">
      <c r="B143" s="131" t="str">
        <f t="shared" si="0"/>
        <v/>
      </c>
      <c r="C143" s="133"/>
      <c r="D143" s="37"/>
      <c r="E143" s="37"/>
      <c r="F143" s="142"/>
      <c r="G143" s="143"/>
      <c r="H143" s="125">
        <f t="shared" si="1"/>
        <v>0</v>
      </c>
      <c r="I143" s="126"/>
    </row>
    <row r="144" spans="2:9" x14ac:dyDescent="0.25">
      <c r="B144" s="73" t="s">
        <v>354</v>
      </c>
      <c r="C144" s="74"/>
      <c r="D144" s="74"/>
      <c r="E144" s="74"/>
      <c r="F144" s="74"/>
      <c r="G144" s="74"/>
      <c r="H144" s="75">
        <f>SUM(H135:I143)</f>
        <v>0</v>
      </c>
      <c r="I144" s="76"/>
    </row>
    <row r="145" spans="2:9" x14ac:dyDescent="0.25">
      <c r="B145" s="113" t="s">
        <v>355</v>
      </c>
      <c r="C145" s="127"/>
      <c r="D145" s="127"/>
      <c r="E145" s="127"/>
      <c r="F145" s="127"/>
      <c r="G145" s="114"/>
      <c r="H145" s="75">
        <f>((H33*0.7)/12)</f>
        <v>0</v>
      </c>
      <c r="I145" s="76"/>
    </row>
    <row r="146" spans="2:9" x14ac:dyDescent="0.25">
      <c r="B146" s="73" t="s">
        <v>356</v>
      </c>
      <c r="C146" s="74"/>
      <c r="D146" s="74"/>
      <c r="E146" s="74"/>
      <c r="F146" s="74"/>
      <c r="G146" s="74"/>
      <c r="H146" s="75">
        <f>H145-H144</f>
        <v>0</v>
      </c>
      <c r="I146" s="76"/>
    </row>
    <row r="147" spans="2:9" x14ac:dyDescent="0.25">
      <c r="B147" t="str">
        <f>IF(H146&lt;=0,"Inapto: Receita Acima do Parâmetro","Apto: Dentro do Parâmetro máximo de receita")</f>
        <v>Inapto: Receita Acima do Parâmetro</v>
      </c>
    </row>
    <row r="149" spans="2:9" x14ac:dyDescent="0.25">
      <c r="B149" s="72" t="s">
        <v>351</v>
      </c>
      <c r="C149" s="72"/>
      <c r="D149" s="72"/>
      <c r="E149" s="72"/>
      <c r="F149" s="72"/>
      <c r="G149" s="72"/>
      <c r="H149" s="72"/>
      <c r="I149" s="72"/>
    </row>
    <row r="151" spans="2:9" x14ac:dyDescent="0.25">
      <c r="B151" s="130" t="s">
        <v>352</v>
      </c>
      <c r="C151" s="130"/>
      <c r="D151" s="130"/>
      <c r="E151" s="130"/>
      <c r="F151" s="130"/>
      <c r="G151" s="130"/>
      <c r="H151" s="130"/>
      <c r="I151" s="130"/>
    </row>
    <row r="152" spans="2:9" x14ac:dyDescent="0.25">
      <c r="B152" s="78" t="s">
        <v>211</v>
      </c>
      <c r="C152" s="87"/>
      <c r="D152" s="137" t="s">
        <v>212</v>
      </c>
      <c r="E152" s="138"/>
      <c r="F152" s="137" t="s">
        <v>40</v>
      </c>
      <c r="G152" s="138"/>
      <c r="H152" s="137" t="s">
        <v>164</v>
      </c>
      <c r="I152" s="138"/>
    </row>
    <row r="153" spans="2:9" ht="15.75" customHeight="1" x14ac:dyDescent="0.25">
      <c r="B153" s="78" t="s">
        <v>51</v>
      </c>
      <c r="C153" s="87"/>
      <c r="D153" s="139"/>
      <c r="E153" s="140"/>
      <c r="F153" s="139"/>
      <c r="G153" s="141"/>
      <c r="H153" s="129">
        <f>D153*F153</f>
        <v>0</v>
      </c>
      <c r="I153" s="129"/>
    </row>
    <row r="154" spans="2:9" ht="15.75" customHeight="1" x14ac:dyDescent="0.25">
      <c r="B154" s="78" t="s">
        <v>52</v>
      </c>
      <c r="C154" s="87"/>
      <c r="D154" s="139"/>
      <c r="E154" s="140"/>
      <c r="F154" s="139"/>
      <c r="G154" s="141"/>
      <c r="H154" s="129">
        <f>D154*F154</f>
        <v>0</v>
      </c>
      <c r="I154" s="129"/>
    </row>
    <row r="155" spans="2:9" ht="15.75" customHeight="1" x14ac:dyDescent="0.25">
      <c r="B155" s="78" t="s">
        <v>53</v>
      </c>
      <c r="C155" s="87"/>
      <c r="D155" s="139"/>
      <c r="E155" s="140"/>
      <c r="F155" s="139"/>
      <c r="G155" s="141"/>
      <c r="H155" s="129">
        <f>D155*F155</f>
        <v>0</v>
      </c>
      <c r="I155" s="129"/>
    </row>
    <row r="156" spans="2:9" x14ac:dyDescent="0.25">
      <c r="B156" s="78" t="s">
        <v>54</v>
      </c>
      <c r="C156" s="87"/>
      <c r="D156" s="139"/>
      <c r="E156" s="140"/>
      <c r="F156" s="139"/>
      <c r="G156" s="141"/>
      <c r="H156" s="129">
        <f>D156*F156</f>
        <v>0</v>
      </c>
      <c r="I156" s="129"/>
    </row>
    <row r="157" spans="2:9" x14ac:dyDescent="0.25">
      <c r="B157" s="113" t="s">
        <v>216</v>
      </c>
      <c r="C157" s="127"/>
      <c r="D157" s="127"/>
      <c r="E157" s="127"/>
      <c r="F157" s="127"/>
      <c r="G157" s="127"/>
      <c r="H157" s="90">
        <f>SUM(H153:I156)</f>
        <v>0</v>
      </c>
      <c r="I157" s="90"/>
    </row>
    <row r="159" spans="2:9" x14ac:dyDescent="0.25">
      <c r="B159" s="130" t="s">
        <v>353</v>
      </c>
      <c r="C159" s="130"/>
      <c r="D159" s="130"/>
      <c r="E159" s="130"/>
      <c r="F159" s="130"/>
      <c r="G159" s="130"/>
      <c r="H159" s="130"/>
      <c r="I159" s="130"/>
    </row>
    <row r="160" spans="2:9" x14ac:dyDescent="0.25">
      <c r="B160" s="131" t="s">
        <v>213</v>
      </c>
      <c r="C160" s="132"/>
      <c r="D160" s="132"/>
      <c r="E160" s="132"/>
      <c r="F160" s="132"/>
      <c r="G160" s="133"/>
      <c r="H160" s="134" t="s">
        <v>164</v>
      </c>
      <c r="I160" s="135"/>
    </row>
    <row r="161" spans="2:9" x14ac:dyDescent="0.25">
      <c r="B161" s="77" t="s">
        <v>55</v>
      </c>
      <c r="C161" s="77"/>
      <c r="D161" s="77"/>
      <c r="E161" s="77"/>
      <c r="F161" s="77"/>
      <c r="G161" s="78"/>
      <c r="H161" s="136"/>
      <c r="I161" s="136"/>
    </row>
    <row r="162" spans="2:9" x14ac:dyDescent="0.25">
      <c r="B162" s="77" t="s">
        <v>313</v>
      </c>
      <c r="C162" s="77"/>
      <c r="D162" s="77"/>
      <c r="E162" s="77"/>
      <c r="F162" s="77"/>
      <c r="G162" s="78"/>
      <c r="H162" s="79">
        <f>SUM(F123:G126)</f>
        <v>0</v>
      </c>
      <c r="I162" s="79"/>
    </row>
    <row r="163" spans="2:9" x14ac:dyDescent="0.25">
      <c r="B163" s="77" t="s">
        <v>314</v>
      </c>
      <c r="C163" s="77"/>
      <c r="D163" s="77"/>
      <c r="E163" s="77"/>
      <c r="F163" s="77"/>
      <c r="G163" s="78"/>
      <c r="H163" s="79">
        <f>SUM(F123,F125)*0.8</f>
        <v>0</v>
      </c>
      <c r="I163" s="79"/>
    </row>
    <row r="164" spans="2:9" x14ac:dyDescent="0.25">
      <c r="B164" s="77" t="s">
        <v>56</v>
      </c>
      <c r="C164" s="77"/>
      <c r="D164" s="77"/>
      <c r="E164" s="77"/>
      <c r="F164" s="77"/>
      <c r="G164" s="78"/>
      <c r="H164" s="136"/>
      <c r="I164" s="136"/>
    </row>
    <row r="165" spans="2:9" x14ac:dyDescent="0.25">
      <c r="B165" s="77" t="s">
        <v>57</v>
      </c>
      <c r="C165" s="77"/>
      <c r="D165" s="77"/>
      <c r="E165" s="77"/>
      <c r="F165" s="77"/>
      <c r="G165" s="78"/>
      <c r="H165" s="136"/>
      <c r="I165" s="136"/>
    </row>
    <row r="166" spans="2:9" x14ac:dyDescent="0.25">
      <c r="B166" s="77" t="s">
        <v>58</v>
      </c>
      <c r="C166" s="77"/>
      <c r="D166" s="77"/>
      <c r="E166" s="77"/>
      <c r="F166" s="77"/>
      <c r="G166" s="78"/>
      <c r="H166" s="136"/>
      <c r="I166" s="136"/>
    </row>
    <row r="167" spans="2:9" x14ac:dyDescent="0.25">
      <c r="B167" s="78" t="s">
        <v>282</v>
      </c>
      <c r="C167" s="86"/>
      <c r="D167" s="86"/>
      <c r="E167" s="86"/>
      <c r="F167" s="86"/>
      <c r="G167" s="87"/>
      <c r="H167" s="181">
        <f>SUM(H161:I166)*0.05</f>
        <v>0</v>
      </c>
      <c r="I167" s="182"/>
    </row>
    <row r="168" spans="2:9" x14ac:dyDescent="0.25">
      <c r="B168" s="113" t="s">
        <v>216</v>
      </c>
      <c r="C168" s="127"/>
      <c r="D168" s="127"/>
      <c r="E168" s="127"/>
      <c r="F168" s="127"/>
      <c r="G168" s="127"/>
      <c r="H168" s="90">
        <f>SUM(H161:I167)</f>
        <v>0</v>
      </c>
      <c r="I168" s="90"/>
    </row>
    <row r="170" spans="2:9" x14ac:dyDescent="0.25">
      <c r="B170" s="89" t="s">
        <v>357</v>
      </c>
      <c r="C170" s="89"/>
      <c r="D170" s="89"/>
      <c r="E170" s="89"/>
      <c r="F170" s="89"/>
      <c r="G170" s="89"/>
      <c r="H170" s="90">
        <f>SUM(H157+H168)</f>
        <v>0</v>
      </c>
      <c r="I170" s="128"/>
    </row>
    <row r="171" spans="2:9" x14ac:dyDescent="0.25">
      <c r="B171" s="113" t="s">
        <v>358</v>
      </c>
      <c r="C171" s="127"/>
      <c r="D171" s="127"/>
      <c r="E171" s="127"/>
      <c r="F171" s="127"/>
      <c r="G171" s="114"/>
      <c r="H171" s="75">
        <f>((H33*0.3)/12)</f>
        <v>0</v>
      </c>
      <c r="I171" s="76"/>
    </row>
    <row r="172" spans="2:9" ht="15" customHeight="1" x14ac:dyDescent="0.25">
      <c r="B172" s="73" t="s">
        <v>359</v>
      </c>
      <c r="C172" s="74"/>
      <c r="D172" s="74"/>
      <c r="E172" s="74"/>
      <c r="F172" s="74"/>
      <c r="G172" s="74"/>
      <c r="H172" s="75">
        <f>H171-H170</f>
        <v>0</v>
      </c>
      <c r="I172" s="76"/>
    </row>
    <row r="173" spans="2:9" x14ac:dyDescent="0.25">
      <c r="B173" t="str">
        <f>IF(H172&lt;0,"Apto: Dentro do Parâmetro de custos","Inapto: Os custos estão abaixo do parâmetro mínimo permitido")</f>
        <v>Inapto: Os custos estão abaixo do parâmetro mínimo permitido</v>
      </c>
    </row>
    <row r="175" spans="2:9" ht="15.75" customHeight="1" x14ac:dyDescent="0.25">
      <c r="B175" s="72" t="s">
        <v>360</v>
      </c>
      <c r="C175" s="72"/>
      <c r="D175" s="72"/>
      <c r="E175" s="72"/>
      <c r="F175" s="72"/>
      <c r="G175" s="72"/>
      <c r="H175" s="72"/>
      <c r="I175" s="72"/>
    </row>
    <row r="176" spans="2:9" ht="15.75" customHeight="1" x14ac:dyDescent="0.25"/>
    <row r="177" spans="2:9" ht="15.75" customHeight="1" x14ac:dyDescent="0.25">
      <c r="B177" s="73" t="s">
        <v>215</v>
      </c>
      <c r="C177" s="74"/>
      <c r="D177" s="74"/>
      <c r="E177" s="74"/>
      <c r="F177" s="74"/>
      <c r="G177" s="74"/>
      <c r="H177" s="74"/>
      <c r="I177" s="88"/>
    </row>
    <row r="178" spans="2:9" x14ac:dyDescent="0.25">
      <c r="B178" s="89" t="s">
        <v>59</v>
      </c>
      <c r="C178" s="89"/>
      <c r="D178" s="89"/>
      <c r="E178" s="89"/>
      <c r="F178" s="16" t="s">
        <v>48</v>
      </c>
      <c r="G178" s="16" t="s">
        <v>176</v>
      </c>
      <c r="H178" s="16" t="s">
        <v>214</v>
      </c>
      <c r="I178" s="16" t="s">
        <v>60</v>
      </c>
    </row>
    <row r="179" spans="2:9" x14ac:dyDescent="0.25">
      <c r="B179" s="102"/>
      <c r="C179" s="102"/>
      <c r="D179" s="102"/>
      <c r="E179" s="102"/>
      <c r="F179" s="38"/>
      <c r="G179" s="38"/>
      <c r="H179" s="36"/>
      <c r="I179" s="19">
        <f>H179*G179</f>
        <v>0</v>
      </c>
    </row>
    <row r="180" spans="2:9" x14ac:dyDescent="0.25">
      <c r="B180" s="103"/>
      <c r="C180" s="104"/>
      <c r="D180" s="104"/>
      <c r="E180" s="105"/>
      <c r="F180" s="38"/>
      <c r="G180" s="38"/>
      <c r="H180" s="36"/>
      <c r="I180" s="19">
        <f t="shared" ref="I180:I190" si="2">H180*G180</f>
        <v>0</v>
      </c>
    </row>
    <row r="181" spans="2:9" x14ac:dyDescent="0.25">
      <c r="B181" s="102"/>
      <c r="C181" s="102"/>
      <c r="D181" s="102"/>
      <c r="E181" s="102"/>
      <c r="F181" s="38"/>
      <c r="G181" s="38"/>
      <c r="H181" s="36"/>
      <c r="I181" s="19">
        <f t="shared" si="2"/>
        <v>0</v>
      </c>
    </row>
    <row r="182" spans="2:9" x14ac:dyDescent="0.25">
      <c r="B182" s="102"/>
      <c r="C182" s="102"/>
      <c r="D182" s="102"/>
      <c r="E182" s="102"/>
      <c r="F182" s="38"/>
      <c r="G182" s="38"/>
      <c r="H182" s="36"/>
      <c r="I182" s="19">
        <f t="shared" si="2"/>
        <v>0</v>
      </c>
    </row>
    <row r="183" spans="2:9" x14ac:dyDescent="0.25">
      <c r="B183" s="102"/>
      <c r="C183" s="102"/>
      <c r="D183" s="102"/>
      <c r="E183" s="102"/>
      <c r="F183" s="38"/>
      <c r="G183" s="38"/>
      <c r="H183" s="36"/>
      <c r="I183" s="19">
        <f t="shared" si="2"/>
        <v>0</v>
      </c>
    </row>
    <row r="184" spans="2:9" x14ac:dyDescent="0.25">
      <c r="B184" s="102"/>
      <c r="C184" s="102"/>
      <c r="D184" s="102"/>
      <c r="E184" s="102"/>
      <c r="F184" s="38"/>
      <c r="G184" s="38"/>
      <c r="H184" s="36"/>
      <c r="I184" s="19">
        <f t="shared" si="2"/>
        <v>0</v>
      </c>
    </row>
    <row r="185" spans="2:9" x14ac:dyDescent="0.25">
      <c r="B185" s="102"/>
      <c r="C185" s="102"/>
      <c r="D185" s="102"/>
      <c r="E185" s="102"/>
      <c r="F185" s="38"/>
      <c r="G185" s="38"/>
      <c r="H185" s="36"/>
      <c r="I185" s="19">
        <f>H185*G185</f>
        <v>0</v>
      </c>
    </row>
    <row r="186" spans="2:9" x14ac:dyDescent="0.25">
      <c r="B186" s="102"/>
      <c r="C186" s="102"/>
      <c r="D186" s="102"/>
      <c r="E186" s="102"/>
      <c r="F186" s="38"/>
      <c r="G186" s="38"/>
      <c r="H186" s="36"/>
      <c r="I186" s="19">
        <f t="shared" si="2"/>
        <v>0</v>
      </c>
    </row>
    <row r="187" spans="2:9" x14ac:dyDescent="0.25">
      <c r="B187" s="102"/>
      <c r="C187" s="102"/>
      <c r="D187" s="102"/>
      <c r="E187" s="102"/>
      <c r="F187" s="38"/>
      <c r="G187" s="38"/>
      <c r="H187" s="36"/>
      <c r="I187" s="19">
        <f t="shared" si="2"/>
        <v>0</v>
      </c>
    </row>
    <row r="188" spans="2:9" x14ac:dyDescent="0.25">
      <c r="B188" s="102"/>
      <c r="C188" s="102"/>
      <c r="D188" s="102"/>
      <c r="E188" s="102"/>
      <c r="F188" s="38"/>
      <c r="G188" s="38"/>
      <c r="H188" s="36"/>
      <c r="I188" s="19">
        <f t="shared" si="2"/>
        <v>0</v>
      </c>
    </row>
    <row r="189" spans="2:9" x14ac:dyDescent="0.25">
      <c r="B189" s="102"/>
      <c r="C189" s="102"/>
      <c r="D189" s="102"/>
      <c r="E189" s="102"/>
      <c r="F189" s="38"/>
      <c r="G189" s="38"/>
      <c r="H189" s="36"/>
      <c r="I189" s="19">
        <f t="shared" si="2"/>
        <v>0</v>
      </c>
    </row>
    <row r="190" spans="2:9" x14ac:dyDescent="0.25">
      <c r="B190" s="102"/>
      <c r="C190" s="102"/>
      <c r="D190" s="102"/>
      <c r="E190" s="102"/>
      <c r="F190" s="38"/>
      <c r="G190" s="38"/>
      <c r="H190" s="36"/>
      <c r="I190" s="19">
        <f t="shared" si="2"/>
        <v>0</v>
      </c>
    </row>
    <row r="191" spans="2:9" x14ac:dyDescent="0.25">
      <c r="B191" s="78" t="s">
        <v>216</v>
      </c>
      <c r="C191" s="86"/>
      <c r="D191" s="86"/>
      <c r="E191" s="86"/>
      <c r="F191" s="86"/>
      <c r="G191" s="86"/>
      <c r="H191" s="86"/>
      <c r="I191" s="19">
        <f>SUM(I179:I190)</f>
        <v>0</v>
      </c>
    </row>
    <row r="192" spans="2:9" x14ac:dyDescent="0.25">
      <c r="B192" s="73" t="s">
        <v>61</v>
      </c>
      <c r="C192" s="74"/>
      <c r="D192" s="74"/>
      <c r="E192" s="74"/>
      <c r="F192" s="74"/>
      <c r="G192" s="74"/>
      <c r="H192" s="74"/>
      <c r="I192" s="88"/>
    </row>
    <row r="193" spans="2:9" x14ac:dyDescent="0.25">
      <c r="B193" s="89" t="s">
        <v>59</v>
      </c>
      <c r="C193" s="89"/>
      <c r="D193" s="89"/>
      <c r="E193" s="89"/>
      <c r="F193" s="16" t="s">
        <v>48</v>
      </c>
      <c r="G193" s="16" t="s">
        <v>176</v>
      </c>
      <c r="H193" s="16" t="s">
        <v>214</v>
      </c>
      <c r="I193" s="16" t="s">
        <v>60</v>
      </c>
    </row>
    <row r="194" spans="2:9" x14ac:dyDescent="0.25">
      <c r="B194" s="102"/>
      <c r="C194" s="102"/>
      <c r="D194" s="102"/>
      <c r="E194" s="102"/>
      <c r="F194" s="38"/>
      <c r="G194" s="38"/>
      <c r="H194" s="36"/>
      <c r="I194" s="19">
        <f>H194*G194</f>
        <v>0</v>
      </c>
    </row>
    <row r="195" spans="2:9" x14ac:dyDescent="0.25">
      <c r="B195" s="102"/>
      <c r="C195" s="102"/>
      <c r="D195" s="102"/>
      <c r="E195" s="102"/>
      <c r="F195" s="38"/>
      <c r="G195" s="38"/>
      <c r="H195" s="36"/>
      <c r="I195" s="19">
        <f t="shared" ref="I195:I205" si="3">H195*G195</f>
        <v>0</v>
      </c>
    </row>
    <row r="196" spans="2:9" x14ac:dyDescent="0.25">
      <c r="B196" s="102"/>
      <c r="C196" s="102"/>
      <c r="D196" s="102"/>
      <c r="E196" s="102"/>
      <c r="F196" s="38"/>
      <c r="G196" s="38"/>
      <c r="H196" s="36"/>
      <c r="I196" s="19">
        <f t="shared" si="3"/>
        <v>0</v>
      </c>
    </row>
    <row r="197" spans="2:9" x14ac:dyDescent="0.25">
      <c r="B197" s="102"/>
      <c r="C197" s="102"/>
      <c r="D197" s="102"/>
      <c r="E197" s="102"/>
      <c r="F197" s="38"/>
      <c r="G197" s="38"/>
      <c r="H197" s="36"/>
      <c r="I197" s="19">
        <f t="shared" si="3"/>
        <v>0</v>
      </c>
    </row>
    <row r="198" spans="2:9" x14ac:dyDescent="0.25">
      <c r="B198" s="102"/>
      <c r="C198" s="102"/>
      <c r="D198" s="102"/>
      <c r="E198" s="102"/>
      <c r="F198" s="38"/>
      <c r="G198" s="38"/>
      <c r="H198" s="36"/>
      <c r="I198" s="19">
        <f t="shared" si="3"/>
        <v>0</v>
      </c>
    </row>
    <row r="199" spans="2:9" x14ac:dyDescent="0.25">
      <c r="B199" s="102"/>
      <c r="C199" s="102"/>
      <c r="D199" s="102"/>
      <c r="E199" s="102"/>
      <c r="F199" s="38"/>
      <c r="G199" s="38"/>
      <c r="H199" s="36"/>
      <c r="I199" s="19">
        <f t="shared" si="3"/>
        <v>0</v>
      </c>
    </row>
    <row r="200" spans="2:9" x14ac:dyDescent="0.25">
      <c r="B200" s="102"/>
      <c r="C200" s="102"/>
      <c r="D200" s="102"/>
      <c r="E200" s="102"/>
      <c r="F200" s="38"/>
      <c r="G200" s="38"/>
      <c r="H200" s="36"/>
      <c r="I200" s="19">
        <f t="shared" si="3"/>
        <v>0</v>
      </c>
    </row>
    <row r="201" spans="2:9" x14ac:dyDescent="0.25">
      <c r="B201" s="102"/>
      <c r="C201" s="102"/>
      <c r="D201" s="102"/>
      <c r="E201" s="102"/>
      <c r="F201" s="38"/>
      <c r="G201" s="38"/>
      <c r="H201" s="36"/>
      <c r="I201" s="19">
        <f t="shared" si="3"/>
        <v>0</v>
      </c>
    </row>
    <row r="202" spans="2:9" x14ac:dyDescent="0.25">
      <c r="B202" s="102"/>
      <c r="C202" s="102"/>
      <c r="D202" s="102"/>
      <c r="E202" s="102"/>
      <c r="F202" s="38"/>
      <c r="G202" s="38"/>
      <c r="H202" s="36"/>
      <c r="I202" s="19">
        <f t="shared" si="3"/>
        <v>0</v>
      </c>
    </row>
    <row r="203" spans="2:9" x14ac:dyDescent="0.25">
      <c r="B203" s="102"/>
      <c r="C203" s="102"/>
      <c r="D203" s="102"/>
      <c r="E203" s="102"/>
      <c r="F203" s="38"/>
      <c r="G203" s="38"/>
      <c r="H203" s="36"/>
      <c r="I203" s="19">
        <f t="shared" si="3"/>
        <v>0</v>
      </c>
    </row>
    <row r="204" spans="2:9" x14ac:dyDescent="0.25">
      <c r="B204" s="102"/>
      <c r="C204" s="102"/>
      <c r="D204" s="102"/>
      <c r="E204" s="102"/>
      <c r="F204" s="38"/>
      <c r="G204" s="38"/>
      <c r="H204" s="36"/>
      <c r="I204" s="19">
        <f t="shared" si="3"/>
        <v>0</v>
      </c>
    </row>
    <row r="205" spans="2:9" x14ac:dyDescent="0.25">
      <c r="B205" s="102"/>
      <c r="C205" s="102"/>
      <c r="D205" s="102"/>
      <c r="E205" s="102"/>
      <c r="F205" s="38"/>
      <c r="G205" s="38"/>
      <c r="H205" s="36"/>
      <c r="I205" s="19">
        <f t="shared" si="3"/>
        <v>0</v>
      </c>
    </row>
    <row r="206" spans="2:9" x14ac:dyDescent="0.25">
      <c r="B206" s="78" t="s">
        <v>216</v>
      </c>
      <c r="C206" s="86"/>
      <c r="D206" s="86"/>
      <c r="E206" s="86"/>
      <c r="F206" s="86"/>
      <c r="G206" s="86"/>
      <c r="H206" s="86"/>
      <c r="I206" s="19">
        <f>SUM(I194:I205)</f>
        <v>0</v>
      </c>
    </row>
    <row r="207" spans="2:9" x14ac:dyDescent="0.25">
      <c r="B207" s="113" t="s">
        <v>219</v>
      </c>
      <c r="C207" s="127"/>
      <c r="D207" s="127"/>
      <c r="E207" s="127"/>
      <c r="F207" s="127"/>
      <c r="G207" s="127"/>
      <c r="H207" s="114"/>
      <c r="I207" s="17">
        <f>I191+I206</f>
        <v>0</v>
      </c>
    </row>
    <row r="209" spans="2:9" x14ac:dyDescent="0.25">
      <c r="B209" s="78" t="s">
        <v>217</v>
      </c>
      <c r="C209" s="86"/>
      <c r="D209" s="86"/>
      <c r="E209" s="86"/>
      <c r="F209" s="86"/>
      <c r="G209" s="86"/>
      <c r="H209" s="87"/>
      <c r="I209" s="39"/>
    </row>
    <row r="210" spans="2:9" x14ac:dyDescent="0.25">
      <c r="B210" s="78" t="s">
        <v>218</v>
      </c>
      <c r="C210" s="86"/>
      <c r="D210" s="86"/>
      <c r="E210" s="86"/>
      <c r="F210" s="86"/>
      <c r="G210" s="86"/>
      <c r="H210" s="87"/>
      <c r="I210" s="39"/>
    </row>
    <row r="211" spans="2:9" x14ac:dyDescent="0.25">
      <c r="B211" s="89" t="s">
        <v>256</v>
      </c>
      <c r="C211" s="89"/>
      <c r="D211" s="89"/>
      <c r="E211" s="89"/>
      <c r="F211" s="89"/>
      <c r="G211" s="89"/>
      <c r="H211" s="89"/>
      <c r="I211" s="17">
        <f>I207+((I207*(I209))+((I207*(I210))))</f>
        <v>0</v>
      </c>
    </row>
    <row r="212" spans="2:9" x14ac:dyDescent="0.25">
      <c r="B212" s="44" t="s">
        <v>283</v>
      </c>
      <c r="C212" s="20"/>
      <c r="D212" s="20"/>
      <c r="E212" s="20"/>
      <c r="F212" s="20"/>
      <c r="G212" s="20"/>
      <c r="H212" s="20"/>
      <c r="I212" s="21"/>
    </row>
    <row r="214" spans="2:9" x14ac:dyDescent="0.25">
      <c r="B214" s="130" t="s">
        <v>361</v>
      </c>
      <c r="C214" s="130"/>
      <c r="D214" s="130"/>
      <c r="E214" s="130"/>
      <c r="F214" s="130"/>
      <c r="G214" s="130"/>
      <c r="H214" s="130"/>
      <c r="I214" s="130"/>
    </row>
    <row r="215" spans="2:9" x14ac:dyDescent="0.25">
      <c r="B215" s="184" t="s">
        <v>300</v>
      </c>
      <c r="C215" s="184"/>
      <c r="D215" s="184"/>
      <c r="E215" s="173" t="s">
        <v>299</v>
      </c>
      <c r="F215" s="173"/>
      <c r="G215" s="173"/>
      <c r="H215" s="173"/>
      <c r="I215" s="174"/>
    </row>
    <row r="216" spans="2:9" ht="15" customHeight="1" x14ac:dyDescent="0.25">
      <c r="B216" s="80" t="s">
        <v>220</v>
      </c>
      <c r="C216" s="81"/>
      <c r="D216" s="81"/>
      <c r="E216" s="81"/>
      <c r="F216" s="81"/>
      <c r="G216" s="81"/>
      <c r="H216" s="82"/>
      <c r="I216" s="13">
        <f>IF(E215="", "", VLOOKUP(E215, Dados!O1:R23, 4, FALSE))</f>
        <v>1</v>
      </c>
    </row>
    <row r="217" spans="2:9" x14ac:dyDescent="0.25">
      <c r="B217" s="80" t="s">
        <v>62</v>
      </c>
      <c r="C217" s="81"/>
      <c r="D217" s="81"/>
      <c r="E217" s="81"/>
      <c r="F217" s="81"/>
      <c r="G217" s="81"/>
      <c r="H217" s="82"/>
      <c r="I217" s="13">
        <f>IF(E215="", "", VLOOKUP(E215, Dados!O1:R23, 2, FALSE))</f>
        <v>0</v>
      </c>
    </row>
    <row r="218" spans="2:9" x14ac:dyDescent="0.25">
      <c r="B218" s="80" t="s">
        <v>63</v>
      </c>
      <c r="C218" s="81"/>
      <c r="D218" s="81"/>
      <c r="E218" s="81"/>
      <c r="F218" s="81"/>
      <c r="G218" s="81"/>
      <c r="H218" s="82"/>
      <c r="I218" s="13" t="str">
        <f>IF(E215="", "", VLOOKUP(E215, Dados!O1:R23, 3, FALSE))</f>
        <v>Anual</v>
      </c>
    </row>
    <row r="219" spans="2:9" x14ac:dyDescent="0.25">
      <c r="B219" s="80" t="s">
        <v>3</v>
      </c>
      <c r="C219" s="81"/>
      <c r="D219" s="81"/>
      <c r="E219" s="81"/>
      <c r="F219" s="81"/>
      <c r="G219" s="81"/>
      <c r="H219" s="82"/>
      <c r="I219" s="38" t="s">
        <v>229</v>
      </c>
    </row>
    <row r="220" spans="2:9" x14ac:dyDescent="0.25">
      <c r="B220" s="80" t="s">
        <v>64</v>
      </c>
      <c r="C220" s="81"/>
      <c r="D220" s="81"/>
      <c r="E220" s="81"/>
      <c r="F220" s="81"/>
      <c r="G220" s="81"/>
      <c r="H220" s="82"/>
      <c r="I220" s="38"/>
    </row>
    <row r="222" spans="2:9" ht="16.5" customHeight="1" x14ac:dyDescent="0.25">
      <c r="B222" s="72" t="s">
        <v>362</v>
      </c>
      <c r="C222" s="72"/>
      <c r="D222" s="72"/>
      <c r="E222" s="72"/>
      <c r="F222" s="72"/>
      <c r="G222" s="72"/>
      <c r="H222" s="72"/>
      <c r="I222" s="72"/>
    </row>
    <row r="223" spans="2:9" ht="16.5" customHeight="1" x14ac:dyDescent="0.25"/>
    <row r="224" spans="2:9" x14ac:dyDescent="0.25">
      <c r="B224" s="113" t="s">
        <v>234</v>
      </c>
      <c r="C224" s="114"/>
      <c r="D224" s="103"/>
      <c r="E224" s="104"/>
      <c r="F224" s="104"/>
      <c r="G224" s="104"/>
      <c r="H224" s="104"/>
      <c r="I224" s="105"/>
    </row>
    <row r="225" spans="2:9" x14ac:dyDescent="0.25">
      <c r="B225" s="78" t="s">
        <v>1</v>
      </c>
      <c r="C225" s="87"/>
      <c r="D225" s="107"/>
      <c r="E225" s="108"/>
      <c r="F225" s="108"/>
      <c r="G225" s="108"/>
      <c r="H225" s="108"/>
      <c r="I225" s="109"/>
    </row>
    <row r="226" spans="2:9" x14ac:dyDescent="0.25">
      <c r="B226" s="78" t="s">
        <v>233</v>
      </c>
      <c r="C226" s="87"/>
      <c r="D226" s="83"/>
      <c r="E226" s="84"/>
      <c r="F226" s="84"/>
      <c r="G226" s="84"/>
      <c r="H226" s="84"/>
      <c r="I226" s="85"/>
    </row>
    <row r="227" spans="2:9" x14ac:dyDescent="0.25">
      <c r="B227" s="78" t="s">
        <v>238</v>
      </c>
      <c r="C227" s="87"/>
      <c r="D227" s="103"/>
      <c r="E227" s="104"/>
      <c r="F227" s="104"/>
      <c r="G227" s="104"/>
      <c r="H227" s="104"/>
      <c r="I227" s="105"/>
    </row>
    <row r="228" spans="2:9" x14ac:dyDescent="0.25">
      <c r="B228" s="78" t="s">
        <v>1</v>
      </c>
      <c r="C228" s="87"/>
      <c r="D228" s="107"/>
      <c r="E228" s="108"/>
      <c r="F228" s="108"/>
      <c r="G228" s="108"/>
      <c r="H228" s="108"/>
      <c r="I228" s="109"/>
    </row>
    <row r="230" spans="2:9" x14ac:dyDescent="0.25">
      <c r="B230" s="113" t="s">
        <v>235</v>
      </c>
      <c r="C230" s="114"/>
      <c r="D230" s="103"/>
      <c r="E230" s="104"/>
      <c r="F230" s="104"/>
      <c r="G230" s="104"/>
      <c r="H230" s="104"/>
      <c r="I230" s="105"/>
    </row>
    <row r="231" spans="2:9" x14ac:dyDescent="0.25">
      <c r="B231" s="78" t="s">
        <v>1</v>
      </c>
      <c r="C231" s="87"/>
      <c r="D231" s="107"/>
      <c r="E231" s="108"/>
      <c r="F231" s="108"/>
      <c r="G231" s="108"/>
      <c r="H231" s="108"/>
      <c r="I231" s="109"/>
    </row>
    <row r="232" spans="2:9" x14ac:dyDescent="0.25">
      <c r="B232" s="78" t="s">
        <v>233</v>
      </c>
      <c r="C232" s="87"/>
      <c r="D232" s="83"/>
      <c r="E232" s="84"/>
      <c r="F232" s="84"/>
      <c r="G232" s="84"/>
      <c r="H232" s="84"/>
      <c r="I232" s="85"/>
    </row>
    <row r="233" spans="2:9" x14ac:dyDescent="0.25">
      <c r="B233" s="78" t="s">
        <v>238</v>
      </c>
      <c r="C233" s="87"/>
      <c r="D233" s="103"/>
      <c r="E233" s="104"/>
      <c r="F233" s="104"/>
      <c r="G233" s="104"/>
      <c r="H233" s="104"/>
      <c r="I233" s="105"/>
    </row>
    <row r="234" spans="2:9" x14ac:dyDescent="0.25">
      <c r="B234" s="22" t="s">
        <v>1</v>
      </c>
      <c r="C234" s="23"/>
      <c r="D234" s="107"/>
      <c r="E234" s="108"/>
      <c r="F234" s="108"/>
      <c r="G234" s="108"/>
      <c r="H234" s="108"/>
      <c r="I234" s="109"/>
    </row>
    <row r="236" spans="2:9" x14ac:dyDescent="0.25">
      <c r="B236" s="113" t="s">
        <v>236</v>
      </c>
      <c r="C236" s="114"/>
      <c r="D236" s="103"/>
      <c r="E236" s="104"/>
      <c r="F236" s="104"/>
      <c r="G236" s="104"/>
      <c r="H236" s="104"/>
      <c r="I236" s="105"/>
    </row>
    <row r="237" spans="2:9" x14ac:dyDescent="0.25">
      <c r="B237" s="78" t="s">
        <v>1</v>
      </c>
      <c r="C237" s="87"/>
      <c r="D237" s="107"/>
      <c r="E237" s="108"/>
      <c r="F237" s="108"/>
      <c r="G237" s="108"/>
      <c r="H237" s="108"/>
      <c r="I237" s="109"/>
    </row>
    <row r="238" spans="2:9" x14ac:dyDescent="0.25">
      <c r="B238" s="78" t="s">
        <v>233</v>
      </c>
      <c r="C238" s="87"/>
      <c r="D238" s="83"/>
      <c r="E238" s="84"/>
      <c r="F238" s="84"/>
      <c r="G238" s="84"/>
      <c r="H238" s="84"/>
      <c r="I238" s="85"/>
    </row>
    <row r="239" spans="2:9" x14ac:dyDescent="0.25">
      <c r="B239" s="78" t="s">
        <v>238</v>
      </c>
      <c r="C239" s="87"/>
      <c r="D239" s="103"/>
      <c r="E239" s="104"/>
      <c r="F239" s="104"/>
      <c r="G239" s="104"/>
      <c r="H239" s="104"/>
      <c r="I239" s="105"/>
    </row>
    <row r="240" spans="2:9" x14ac:dyDescent="0.25">
      <c r="B240" s="22" t="s">
        <v>1</v>
      </c>
      <c r="C240" s="23"/>
      <c r="D240" s="107"/>
      <c r="E240" s="108"/>
      <c r="F240" s="108"/>
      <c r="G240" s="108"/>
      <c r="H240" s="108"/>
      <c r="I240" s="109"/>
    </row>
    <row r="242" spans="2:9" x14ac:dyDescent="0.25">
      <c r="B242" s="113" t="s">
        <v>237</v>
      </c>
      <c r="C242" s="114"/>
      <c r="D242" s="103"/>
      <c r="E242" s="104"/>
      <c r="F242" s="104"/>
      <c r="G242" s="104"/>
      <c r="H242" s="104"/>
      <c r="I242" s="105"/>
    </row>
    <row r="243" spans="2:9" x14ac:dyDescent="0.25">
      <c r="B243" s="11" t="s">
        <v>1</v>
      </c>
      <c r="C243" s="12"/>
      <c r="D243" s="107"/>
      <c r="E243" s="108"/>
      <c r="F243" s="108"/>
      <c r="G243" s="108"/>
      <c r="H243" s="108"/>
      <c r="I243" s="109"/>
    </row>
    <row r="244" spans="2:9" x14ac:dyDescent="0.25">
      <c r="B244" s="11" t="s">
        <v>233</v>
      </c>
      <c r="C244" s="12"/>
      <c r="D244" s="83"/>
      <c r="E244" s="84"/>
      <c r="F244" s="84"/>
      <c r="G244" s="84"/>
      <c r="H244" s="84"/>
      <c r="I244" s="85"/>
    </row>
    <row r="245" spans="2:9" x14ac:dyDescent="0.25">
      <c r="B245" s="11" t="s">
        <v>238</v>
      </c>
      <c r="C245" s="12"/>
      <c r="D245" s="103"/>
      <c r="E245" s="104"/>
      <c r="F245" s="104"/>
      <c r="G245" s="104"/>
      <c r="H245" s="104"/>
      <c r="I245" s="105"/>
    </row>
    <row r="246" spans="2:9" x14ac:dyDescent="0.25">
      <c r="B246" s="22" t="s">
        <v>1</v>
      </c>
      <c r="C246" s="23"/>
      <c r="D246" s="107"/>
      <c r="E246" s="108"/>
      <c r="F246" s="108"/>
      <c r="G246" s="108"/>
      <c r="H246" s="108"/>
      <c r="I246" s="109"/>
    </row>
    <row r="248" spans="2:9" x14ac:dyDescent="0.25">
      <c r="B248" s="113" t="s">
        <v>239</v>
      </c>
      <c r="C248" s="114"/>
      <c r="D248" s="110">
        <f>SUM(D244,D238,D232,D226)</f>
        <v>0</v>
      </c>
      <c r="E248" s="111"/>
      <c r="F248" s="111"/>
      <c r="G248" s="111"/>
      <c r="H248" s="111"/>
      <c r="I248" s="112"/>
    </row>
    <row r="249" spans="2:9" x14ac:dyDescent="0.25">
      <c r="B249" s="9"/>
      <c r="C249" s="9"/>
      <c r="D249" s="6"/>
      <c r="E249" s="6"/>
      <c r="F249" s="6"/>
      <c r="G249" s="6"/>
      <c r="H249" s="6"/>
      <c r="I249" s="6"/>
    </row>
    <row r="250" spans="2:9" x14ac:dyDescent="0.25">
      <c r="B250" s="72" t="s">
        <v>363</v>
      </c>
      <c r="C250" s="72"/>
      <c r="D250" s="72"/>
      <c r="E250" s="72"/>
      <c r="F250" s="72"/>
      <c r="G250" s="72"/>
      <c r="H250" s="72"/>
      <c r="I250" s="72"/>
    </row>
    <row r="252" spans="2:9" x14ac:dyDescent="0.25">
      <c r="B252" s="78" t="s">
        <v>240</v>
      </c>
      <c r="C252" s="87"/>
      <c r="D252" s="102"/>
      <c r="E252" s="102"/>
      <c r="F252" s="102"/>
      <c r="G252" s="102"/>
      <c r="H252" s="102"/>
      <c r="I252" s="102"/>
    </row>
    <row r="253" spans="2:9" x14ac:dyDescent="0.25">
      <c r="B253" s="78" t="s">
        <v>366</v>
      </c>
      <c r="C253" s="87"/>
      <c r="D253" s="102"/>
      <c r="E253" s="102"/>
      <c r="F253" s="102"/>
      <c r="G253" s="102"/>
      <c r="H253" s="102"/>
      <c r="I253" s="102"/>
    </row>
    <row r="254" spans="2:9" x14ac:dyDescent="0.25">
      <c r="B254" s="78" t="s">
        <v>365</v>
      </c>
      <c r="C254" s="87"/>
      <c r="D254" s="124"/>
      <c r="E254" s="102"/>
      <c r="F254" s="102"/>
      <c r="G254" s="102"/>
      <c r="H254" s="102"/>
      <c r="I254" s="102"/>
    </row>
    <row r="255" spans="2:9" x14ac:dyDescent="0.25">
      <c r="B255" s="78" t="s">
        <v>241</v>
      </c>
      <c r="C255" s="87"/>
      <c r="D255" s="102"/>
      <c r="E255" s="102"/>
      <c r="F255" s="102"/>
      <c r="G255" s="102"/>
      <c r="H255" s="102"/>
      <c r="I255" s="102"/>
    </row>
    <row r="256" spans="2:9" x14ac:dyDescent="0.25">
      <c r="B256" s="78" t="s">
        <v>1</v>
      </c>
      <c r="C256" s="87"/>
      <c r="D256" s="107"/>
      <c r="E256" s="108"/>
      <c r="F256" s="108"/>
      <c r="G256" s="108"/>
      <c r="H256" s="108"/>
      <c r="I256" s="109"/>
    </row>
    <row r="258" spans="2:25" ht="15.75" customHeight="1" x14ac:dyDescent="0.25">
      <c r="B258" s="130" t="s">
        <v>364</v>
      </c>
      <c r="C258" s="130"/>
      <c r="D258" s="130"/>
      <c r="E258" s="130"/>
      <c r="F258" s="130"/>
      <c r="G258" s="130"/>
      <c r="H258" s="130"/>
      <c r="I258" s="130"/>
    </row>
    <row r="259" spans="2:25" x14ac:dyDescent="0.25">
      <c r="B259" s="78" t="s">
        <v>323</v>
      </c>
      <c r="C259" s="86"/>
      <c r="D259" s="86"/>
      <c r="E259" s="86"/>
      <c r="F259" s="86"/>
      <c r="G259" s="86"/>
      <c r="H259" s="86"/>
      <c r="I259" s="87"/>
    </row>
    <row r="260" spans="2:25" x14ac:dyDescent="0.25">
      <c r="B260" s="115"/>
      <c r="C260" s="116"/>
      <c r="D260" s="116"/>
      <c r="E260" s="116"/>
      <c r="F260" s="116"/>
      <c r="G260" s="116"/>
      <c r="H260" s="116"/>
      <c r="I260" s="117"/>
    </row>
    <row r="261" spans="2:25" x14ac:dyDescent="0.25">
      <c r="B261" s="118"/>
      <c r="C261" s="119"/>
      <c r="D261" s="119"/>
      <c r="E261" s="119"/>
      <c r="F261" s="119"/>
      <c r="G261" s="119"/>
      <c r="H261" s="119"/>
      <c r="I261" s="120"/>
    </row>
    <row r="262" spans="2:25" x14ac:dyDescent="0.25">
      <c r="B262" s="118"/>
      <c r="C262" s="119"/>
      <c r="D262" s="119"/>
      <c r="E262" s="119"/>
      <c r="F262" s="119"/>
      <c r="G262" s="119"/>
      <c r="H262" s="119"/>
      <c r="I262" s="120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</row>
    <row r="263" spans="2:25" x14ac:dyDescent="0.25">
      <c r="B263" s="118"/>
      <c r="C263" s="119"/>
      <c r="D263" s="119"/>
      <c r="E263" s="119"/>
      <c r="F263" s="119"/>
      <c r="G263" s="119"/>
      <c r="H263" s="119"/>
      <c r="I263" s="120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</row>
    <row r="264" spans="2:25" x14ac:dyDescent="0.25">
      <c r="B264" s="121"/>
      <c r="C264" s="122"/>
      <c r="D264" s="122"/>
      <c r="E264" s="122"/>
      <c r="F264" s="122"/>
      <c r="G264" s="122"/>
      <c r="H264" s="122"/>
      <c r="I264" s="123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</row>
    <row r="265" spans="2:25" x14ac:dyDescent="0.25">
      <c r="B265" s="78" t="s">
        <v>337</v>
      </c>
      <c r="C265" s="86"/>
      <c r="D265" s="86"/>
      <c r="E265" s="86"/>
      <c r="F265" s="86"/>
      <c r="G265" s="86"/>
      <c r="H265" s="86"/>
      <c r="I265" s="87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</row>
    <row r="266" spans="2:25" x14ac:dyDescent="0.25">
      <c r="B266" s="180"/>
      <c r="C266" s="116"/>
      <c r="D266" s="116"/>
      <c r="E266" s="116"/>
      <c r="F266" s="116"/>
      <c r="G266" s="116"/>
      <c r="H266" s="116"/>
      <c r="I266" s="117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</row>
    <row r="267" spans="2:25" x14ac:dyDescent="0.25">
      <c r="B267" s="118"/>
      <c r="C267" s="119"/>
      <c r="D267" s="119"/>
      <c r="E267" s="119"/>
      <c r="F267" s="119"/>
      <c r="G267" s="119"/>
      <c r="H267" s="119"/>
      <c r="I267" s="120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</row>
    <row r="268" spans="2:25" x14ac:dyDescent="0.25">
      <c r="B268" s="118"/>
      <c r="C268" s="119"/>
      <c r="D268" s="119"/>
      <c r="E268" s="119"/>
      <c r="F268" s="119"/>
      <c r="G268" s="119"/>
      <c r="H268" s="119"/>
      <c r="I268" s="120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</row>
    <row r="269" spans="2:25" x14ac:dyDescent="0.25">
      <c r="B269" s="118"/>
      <c r="C269" s="119"/>
      <c r="D269" s="119"/>
      <c r="E269" s="119"/>
      <c r="F269" s="119"/>
      <c r="G269" s="119"/>
      <c r="H269" s="119"/>
      <c r="I269" s="120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</row>
    <row r="270" spans="2:25" x14ac:dyDescent="0.25">
      <c r="B270" s="121"/>
      <c r="C270" s="122"/>
      <c r="D270" s="122"/>
      <c r="E270" s="122"/>
      <c r="F270" s="122"/>
      <c r="G270" s="122"/>
      <c r="H270" s="122"/>
      <c r="I270" s="123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</row>
    <row r="271" spans="2:25" x14ac:dyDescent="0.25">
      <c r="B271" s="78" t="s">
        <v>338</v>
      </c>
      <c r="C271" s="86"/>
      <c r="D271" s="86"/>
      <c r="E271" s="86"/>
      <c r="F271" s="86"/>
      <c r="G271" s="86"/>
      <c r="H271" s="86"/>
      <c r="I271" s="87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</row>
    <row r="272" spans="2:25" x14ac:dyDescent="0.25">
      <c r="B272" s="180"/>
      <c r="C272" s="116"/>
      <c r="D272" s="116"/>
      <c r="E272" s="116"/>
      <c r="F272" s="116"/>
      <c r="G272" s="116"/>
      <c r="H272" s="116"/>
      <c r="I272" s="117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</row>
    <row r="273" spans="2:25" x14ac:dyDescent="0.25">
      <c r="B273" s="118"/>
      <c r="C273" s="119"/>
      <c r="D273" s="119"/>
      <c r="E273" s="119"/>
      <c r="F273" s="119"/>
      <c r="G273" s="119"/>
      <c r="H273" s="119"/>
      <c r="I273" s="120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</row>
    <row r="274" spans="2:25" x14ac:dyDescent="0.25">
      <c r="B274" s="118"/>
      <c r="C274" s="119"/>
      <c r="D274" s="119"/>
      <c r="E274" s="119"/>
      <c r="F274" s="119"/>
      <c r="G274" s="119"/>
      <c r="H274" s="119"/>
      <c r="I274" s="120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</row>
    <row r="275" spans="2:25" x14ac:dyDescent="0.25">
      <c r="B275" s="118"/>
      <c r="C275" s="119"/>
      <c r="D275" s="119"/>
      <c r="E275" s="119"/>
      <c r="F275" s="119"/>
      <c r="G275" s="119"/>
      <c r="H275" s="119"/>
      <c r="I275" s="120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</row>
    <row r="276" spans="2:25" x14ac:dyDescent="0.25">
      <c r="B276" s="121"/>
      <c r="C276" s="122"/>
      <c r="D276" s="122"/>
      <c r="E276" s="122"/>
      <c r="F276" s="122"/>
      <c r="G276" s="122"/>
      <c r="H276" s="122"/>
      <c r="I276" s="123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</row>
    <row r="277" spans="2:25" x14ac:dyDescent="0.25">
      <c r="B277" s="130" t="s">
        <v>65</v>
      </c>
      <c r="C277" s="130"/>
      <c r="D277" s="130"/>
      <c r="E277" s="130"/>
      <c r="F277" s="130"/>
      <c r="G277" s="130"/>
      <c r="H277" s="130"/>
      <c r="I277" s="130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</row>
    <row r="278" spans="2:25" x14ac:dyDescent="0.25">
      <c r="B278" s="80" t="s">
        <v>242</v>
      </c>
      <c r="C278" s="81"/>
      <c r="D278" s="81"/>
      <c r="E278" s="81"/>
      <c r="F278" s="81"/>
      <c r="G278" s="81"/>
      <c r="H278" s="82"/>
      <c r="I278" s="40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</row>
    <row r="279" spans="2:25" x14ac:dyDescent="0.25">
      <c r="B279" s="80" t="s">
        <v>243</v>
      </c>
      <c r="C279" s="81"/>
      <c r="D279" s="81"/>
      <c r="E279" s="81"/>
      <c r="F279" s="81"/>
      <c r="G279" s="81"/>
      <c r="H279" s="82"/>
      <c r="I279" s="40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</row>
    <row r="280" spans="2:25" x14ac:dyDescent="0.25">
      <c r="B280" s="80" t="s">
        <v>244</v>
      </c>
      <c r="C280" s="81"/>
      <c r="D280" s="81"/>
      <c r="E280" s="81"/>
      <c r="F280" s="81"/>
      <c r="G280" s="81"/>
      <c r="H280" s="82"/>
      <c r="I280" s="40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</row>
    <row r="281" spans="2:25" x14ac:dyDescent="0.25">
      <c r="B281" s="80" t="s">
        <v>245</v>
      </c>
      <c r="C281" s="81"/>
      <c r="D281" s="81"/>
      <c r="E281" s="81"/>
      <c r="F281" s="81"/>
      <c r="G281" s="81"/>
      <c r="H281" s="82"/>
      <c r="I281" s="40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</row>
    <row r="282" spans="2:25" x14ac:dyDescent="0.25">
      <c r="B282" s="80" t="s">
        <v>246</v>
      </c>
      <c r="C282" s="81"/>
      <c r="D282" s="81"/>
      <c r="E282" s="81"/>
      <c r="F282" s="81"/>
      <c r="G282" s="81"/>
      <c r="H282" s="82"/>
      <c r="I282" s="40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</row>
    <row r="283" spans="2:25" s="5" customFormat="1" x14ac:dyDescent="0.25">
      <c r="B283" s="106" t="s">
        <v>247</v>
      </c>
      <c r="C283" s="106"/>
      <c r="D283" s="106"/>
      <c r="E283" s="106"/>
      <c r="F283" s="106"/>
      <c r="G283" s="106"/>
      <c r="H283" s="106"/>
      <c r="I283" s="40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</row>
    <row r="284" spans="2:25" s="5" customFormat="1" x14ac:dyDescent="0.25">
      <c r="B284" s="106" t="s">
        <v>248</v>
      </c>
      <c r="C284" s="106"/>
      <c r="D284" s="106"/>
      <c r="E284" s="106"/>
      <c r="F284" s="106"/>
      <c r="G284" s="106"/>
      <c r="H284" s="106"/>
      <c r="I284" s="40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</row>
    <row r="285" spans="2:25" s="5" customFormat="1" x14ac:dyDescent="0.25">
      <c r="B285" s="106" t="s">
        <v>249</v>
      </c>
      <c r="C285" s="106"/>
      <c r="D285" s="106"/>
      <c r="E285" s="106"/>
      <c r="F285" s="106"/>
      <c r="G285" s="106"/>
      <c r="H285" s="106"/>
      <c r="I285" s="40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</row>
    <row r="286" spans="2:25" s="5" customFormat="1" x14ac:dyDescent="0.25">
      <c r="B286" s="106" t="s">
        <v>145</v>
      </c>
      <c r="C286" s="106"/>
      <c r="D286" s="106"/>
      <c r="E286" s="106"/>
      <c r="F286" s="106"/>
      <c r="G286" s="106"/>
      <c r="H286" s="106"/>
      <c r="I286" s="40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</row>
    <row r="287" spans="2:25" s="5" customFormat="1" x14ac:dyDescent="0.25">
      <c r="B287" s="106" t="s">
        <v>250</v>
      </c>
      <c r="C287" s="106"/>
      <c r="D287" s="106"/>
      <c r="E287" s="106"/>
      <c r="F287" s="106"/>
      <c r="G287" s="106"/>
      <c r="H287" s="106"/>
      <c r="I287" s="40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</row>
    <row r="288" spans="2:25" s="5" customFormat="1" x14ac:dyDescent="0.25">
      <c r="B288" s="106" t="s">
        <v>251</v>
      </c>
      <c r="C288" s="106"/>
      <c r="D288" s="106"/>
      <c r="E288" s="106"/>
      <c r="F288" s="106"/>
      <c r="G288" s="106"/>
      <c r="H288" s="106"/>
      <c r="I288" s="40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</row>
    <row r="289" spans="2:25" s="5" customFormat="1" x14ac:dyDescent="0.25">
      <c r="B289" s="106" t="s">
        <v>252</v>
      </c>
      <c r="C289" s="106"/>
      <c r="D289" s="106"/>
      <c r="E289" s="106"/>
      <c r="F289" s="106"/>
      <c r="G289" s="106"/>
      <c r="H289" s="106"/>
      <c r="I289" s="40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</row>
    <row r="290" spans="2:25" s="5" customFormat="1" x14ac:dyDescent="0.25">
      <c r="B290" s="106" t="s">
        <v>253</v>
      </c>
      <c r="C290" s="106"/>
      <c r="D290" s="106"/>
      <c r="E290" s="106"/>
      <c r="F290" s="106"/>
      <c r="G290" s="106"/>
      <c r="H290" s="106"/>
      <c r="I290" s="40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</row>
    <row r="291" spans="2:25" x14ac:dyDescent="0.25">
      <c r="B291" s="1"/>
      <c r="C291" s="1"/>
      <c r="D291" s="1"/>
      <c r="E291" s="1"/>
      <c r="F291" s="1"/>
      <c r="G291" s="1"/>
      <c r="H291" s="1"/>
      <c r="I291" s="1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</row>
    <row r="292" spans="2:25" x14ac:dyDescent="0.25">
      <c r="B292" s="177" t="s">
        <v>258</v>
      </c>
      <c r="C292" s="178"/>
      <c r="D292" s="178"/>
      <c r="E292" s="178"/>
      <c r="F292" s="178"/>
      <c r="G292" s="178"/>
      <c r="H292" s="178"/>
      <c r="I292" s="17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</row>
    <row r="293" spans="2:25" x14ac:dyDescent="0.25">
      <c r="B293" s="56" t="s">
        <v>59</v>
      </c>
      <c r="C293" s="56"/>
      <c r="D293" s="56"/>
      <c r="E293" s="56"/>
      <c r="F293" s="56"/>
      <c r="G293" s="56"/>
      <c r="H293" s="91" t="s">
        <v>259</v>
      </c>
      <c r="I293" s="91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</row>
    <row r="294" spans="2:25" x14ac:dyDescent="0.25">
      <c r="B294" s="57" t="s">
        <v>388</v>
      </c>
      <c r="C294" s="57"/>
      <c r="D294" s="57"/>
      <c r="E294" s="57"/>
      <c r="F294" s="57"/>
      <c r="G294" s="57"/>
      <c r="H294" s="60">
        <f xml:space="preserve"> Levantamento!H144*
  IF(Levantamento!$I$218="Anual", 12,
  IF(Levantamento!$I$218="Semestral", 6,
  IF(Levantamento!$I$218="Trimestral", 3,
  IF(Levantamento!$I$218="Bimestral", 2,
  IF(Levantamento!$I$218="Mensal", 1, 0)))))</f>
        <v>0</v>
      </c>
      <c r="I294" s="60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</row>
    <row r="295" spans="2:25" x14ac:dyDescent="0.25">
      <c r="B295" s="53" t="s">
        <v>260</v>
      </c>
      <c r="C295" s="53"/>
      <c r="D295" s="53"/>
      <c r="E295" s="53"/>
      <c r="F295" s="53"/>
      <c r="G295" s="53"/>
      <c r="H295" s="61">
        <f xml:space="preserve"> Levantamento!H157*
  IF(Levantamento!$I$218="Anual", 12,
  IF(Levantamento!$I$218="Semestral", 6,
  IF(Levantamento!$I$218="Trimestral", 3,
  IF(Levantamento!$I$218="Bimestral", 2,
  IF(Levantamento!$I$218="Mensal", 1, 0)))))</f>
        <v>0</v>
      </c>
      <c r="I295" s="61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</row>
    <row r="296" spans="2:25" x14ac:dyDescent="0.25">
      <c r="B296" s="53" t="s">
        <v>261</v>
      </c>
      <c r="C296" s="53"/>
      <c r="D296" s="53"/>
      <c r="E296" s="53"/>
      <c r="F296" s="53"/>
      <c r="G296" s="53"/>
      <c r="H296" s="61">
        <f>H294-H295</f>
        <v>0</v>
      </c>
      <c r="I296" s="61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</row>
    <row r="297" spans="2:25" x14ac:dyDescent="0.25">
      <c r="B297" s="53" t="s">
        <v>262</v>
      </c>
      <c r="C297" s="53"/>
      <c r="D297" s="53"/>
      <c r="E297" s="53"/>
      <c r="F297" s="53"/>
      <c r="G297" s="53"/>
      <c r="H297" s="61">
        <f xml:space="preserve"> Levantamento!H168*
  IF(Levantamento!$I$218="Anual", 12,
  IF(Levantamento!$I$218="Semestral", 6,
  IF(Levantamento!$I$218="Trimestral", 3,
  IF(Levantamento!$I$218="Bimestral", 2,
  IF(Levantamento!$I$218="Mensal", 1, 0)))))</f>
        <v>0</v>
      </c>
      <c r="I297" s="61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</row>
    <row r="298" spans="2:25" x14ac:dyDescent="0.25">
      <c r="B298" s="53" t="s">
        <v>258</v>
      </c>
      <c r="C298" s="53"/>
      <c r="D298" s="53"/>
      <c r="E298" s="53"/>
      <c r="F298" s="53"/>
      <c r="G298" s="53"/>
      <c r="H298" s="61">
        <f>H296-H297</f>
        <v>0</v>
      </c>
      <c r="I298" s="61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</row>
    <row r="299" spans="2:25" x14ac:dyDescent="0.25">
      <c r="B299" s="53" t="s">
        <v>389</v>
      </c>
      <c r="C299" s="53"/>
      <c r="D299" s="53"/>
      <c r="E299" s="53"/>
      <c r="F299" s="53"/>
      <c r="G299" s="53"/>
      <c r="H299" s="61">
        <f xml:space="preserve"> Levantamento!H113*
  IF(Levantamento!$I$218="Anual", 12,
  IF(Levantamento!$I$218="Semestral", 6,
  IF(Levantamento!$I$218="Trimestral", 3,
  IF(Levantamento!$I$218="Bimestral", 2,
  IF(Levantamento!$I$218="Mensal", 1, 0)))))</f>
        <v>0</v>
      </c>
      <c r="I299" s="61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</row>
    <row r="300" spans="2:25" x14ac:dyDescent="0.25">
      <c r="B300" s="53" t="s">
        <v>264</v>
      </c>
      <c r="C300" s="53"/>
      <c r="D300" s="53"/>
      <c r="E300" s="53"/>
      <c r="F300" s="53"/>
      <c r="G300" s="53"/>
      <c r="H300" s="61">
        <f>H298-H299</f>
        <v>0</v>
      </c>
      <c r="I300" s="61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</row>
    <row r="301" spans="2:25" x14ac:dyDescent="0.25">
      <c r="B301" s="53" t="s">
        <v>265</v>
      </c>
      <c r="C301" s="53"/>
      <c r="D301" s="53"/>
      <c r="E301" s="53"/>
      <c r="F301" s="53"/>
      <c r="G301" s="53"/>
      <c r="H301" s="61">
        <f>Levantamento!H61*
  IF(Levantamento!$I$218="Anual", 12,
  IF(Levantamento!$I$218="Semestral", 6,
  IF(Levantamento!$I$218="Trimestral", 3,
  IF(Levantamento!$I$218="Bimestral", 2,
  IF(Levantamento!$I$218="Mensal", 1, 0)))))</f>
        <v>0</v>
      </c>
      <c r="I301" s="61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</row>
    <row r="302" spans="2:25" x14ac:dyDescent="0.25">
      <c r="B302" s="53" t="s">
        <v>266</v>
      </c>
      <c r="C302" s="53"/>
      <c r="D302" s="53"/>
      <c r="E302" s="53"/>
      <c r="F302" s="53"/>
      <c r="G302" s="53"/>
      <c r="H302" s="61">
        <f>(H300*0.7)+H301</f>
        <v>0</v>
      </c>
      <c r="I302" s="61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</row>
    <row r="303" spans="2:25" x14ac:dyDescent="0.25">
      <c r="B303" s="53" t="s">
        <v>275</v>
      </c>
      <c r="C303" s="53"/>
      <c r="D303" s="53"/>
      <c r="E303" s="53"/>
      <c r="F303" s="53"/>
      <c r="G303" s="53"/>
      <c r="H303" s="61">
        <f xml:space="preserve"> Levantamento!H75*
  IF(Levantamento!$I$218="Anual", 12,
  IF(Levantamento!$I$218="Semestral", 6,
  IF(Levantamento!$I$218="Trimestral", 3,
  IF(Levantamento!$I$218="Bimestral", 2,
  IF(Levantamento!$I$218="Mensal", 1, 0)))))</f>
        <v>0</v>
      </c>
      <c r="I303" s="61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</row>
    <row r="304" spans="2:25" x14ac:dyDescent="0.25">
      <c r="B304" s="53" t="s">
        <v>267</v>
      </c>
      <c r="C304" s="53"/>
      <c r="D304" s="53"/>
      <c r="E304" s="53"/>
      <c r="F304" s="53"/>
      <c r="G304" s="7"/>
      <c r="H304" s="61">
        <f>H302-H303</f>
        <v>0</v>
      </c>
      <c r="I304" s="61"/>
      <c r="J304" s="29"/>
      <c r="K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</row>
    <row r="305" spans="2:25" x14ac:dyDescent="0.25">
      <c r="B305" s="53" t="s">
        <v>268</v>
      </c>
      <c r="C305" s="53"/>
      <c r="D305" s="53"/>
      <c r="E305" s="53"/>
      <c r="F305" s="53"/>
      <c r="G305" s="53"/>
      <c r="H305" s="61">
        <f>H300*0.75</f>
        <v>0</v>
      </c>
      <c r="I305" s="61"/>
      <c r="J305" s="29"/>
      <c r="K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</row>
    <row r="306" spans="2:25" x14ac:dyDescent="0.25">
      <c r="B306" s="53" t="s">
        <v>322</v>
      </c>
      <c r="C306" s="53"/>
      <c r="D306" s="53"/>
      <c r="E306" s="53"/>
      <c r="F306" s="53"/>
      <c r="G306" s="53"/>
      <c r="H306" s="69"/>
      <c r="I306" s="69"/>
      <c r="J306" s="29"/>
      <c r="K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</row>
    <row r="307" spans="2:25" x14ac:dyDescent="0.25">
      <c r="B307" s="53" t="s">
        <v>269</v>
      </c>
      <c r="C307" s="53"/>
      <c r="D307" s="53"/>
      <c r="E307" s="53"/>
      <c r="F307" s="53"/>
      <c r="G307" s="53"/>
      <c r="H307" s="61">
        <f>G312-H299</f>
        <v>0</v>
      </c>
      <c r="I307" s="61"/>
      <c r="J307" s="29"/>
      <c r="K307" s="29"/>
      <c r="L307" s="4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</row>
    <row r="308" spans="2:25" x14ac:dyDescent="0.25">
      <c r="B308" s="53" t="s">
        <v>270</v>
      </c>
      <c r="C308" s="53"/>
      <c r="D308" s="53"/>
      <c r="E308" s="53"/>
      <c r="F308" s="53"/>
      <c r="G308" s="53"/>
      <c r="H308" s="61">
        <f xml:space="preserve"> (Levantamento!D248*
  IF(Levantamento!$I$218="Anual", 12,
  IF(Levantamento!$I$218="Semestral", 6,
  IF(Levantamento!$I$218="Trimestral", 3,
  IF(Levantamento!$I$218="Bimestral", 2,
  IF(Levantamento!$I$218="Mensal", 1, 0)))))) * IF(Levantamento!I220 = "Terceiros", IF(Levantamento!I219 = "Novo", 0.3333, IF(Levantamento!I219 = "Renovação", 0.7, 0)), IF(Levantamento!I220 = "Solidário", 1,0))</f>
        <v>0</v>
      </c>
      <c r="I308" s="61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</row>
    <row r="309" spans="2:25" x14ac:dyDescent="0.25">
      <c r="B309" s="53" t="s">
        <v>272</v>
      </c>
      <c r="C309" s="53"/>
      <c r="D309" s="53"/>
      <c r="E309" s="53"/>
      <c r="F309" s="53"/>
      <c r="G309" s="53"/>
      <c r="H309" s="64">
        <f>IF(OR(H306="",H306=0),0,(H305/H306)-1)</f>
        <v>0</v>
      </c>
      <c r="I309" s="64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</row>
    <row r="310" spans="2:25" x14ac:dyDescent="0.25">
      <c r="B310" s="53" t="s">
        <v>273</v>
      </c>
      <c r="C310" s="53"/>
      <c r="D310" s="53"/>
      <c r="E310" s="53"/>
      <c r="F310" s="53"/>
      <c r="G310" s="53"/>
      <c r="H310" s="64">
        <f>IF(OR(H306="", H306=0), 0, H308/H306)</f>
        <v>0</v>
      </c>
      <c r="I310" s="64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</row>
    <row r="311" spans="2:25" x14ac:dyDescent="0.25">
      <c r="B311" s="63" t="s">
        <v>274</v>
      </c>
      <c r="C311" s="63"/>
      <c r="D311" s="63"/>
      <c r="E311" s="63"/>
      <c r="F311" s="63"/>
      <c r="G311" s="63"/>
      <c r="H311" s="62">
        <f>IF(OR(H306="", H306=0), 0, (H308/H306)-1)</f>
        <v>0</v>
      </c>
      <c r="I311" s="62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</row>
    <row r="312" spans="2:25" x14ac:dyDescent="0.25">
      <c r="B312" s="50" t="s">
        <v>380</v>
      </c>
      <c r="C312" s="51">
        <f>H100+H108</f>
        <v>0</v>
      </c>
      <c r="D312" s="50" t="s">
        <v>381</v>
      </c>
      <c r="E312" s="51">
        <f>H100-H299</f>
        <v>0</v>
      </c>
      <c r="F312" s="50" t="s">
        <v>382</v>
      </c>
      <c r="G312" s="52">
        <f>C312*0.7</f>
        <v>0</v>
      </c>
      <c r="H312" s="52" t="s">
        <v>383</v>
      </c>
      <c r="I312" s="51">
        <f>G312-H299</f>
        <v>0</v>
      </c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</row>
    <row r="313" spans="2:25" x14ac:dyDescent="0.25">
      <c r="B313" s="65" t="s">
        <v>306</v>
      </c>
      <c r="C313" s="65"/>
      <c r="D313" s="65"/>
      <c r="E313" s="65"/>
      <c r="F313" s="65"/>
      <c r="G313" s="65"/>
      <c r="H313" s="65"/>
      <c r="I313" s="65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</row>
    <row r="314" spans="2:25" x14ac:dyDescent="0.25">
      <c r="B314" s="68" t="str">
        <f>IF(OR(Levantamento!$H$306="", Levantamento!$H$306=0), "Atenção Projetista:" &amp; CHAR(10) &amp; "Solicitar simulação da parcela prevista para agência e inserir na célula H300" &amp; CHAR(10) &amp; "(orçamento + prazos)", "Sem notificação")</f>
        <v>Atenção Projetista:
Solicitar simulação da parcela prevista para agência e inserir na célula H300
(orçamento + prazos)</v>
      </c>
      <c r="C314" s="68"/>
      <c r="D314" s="68"/>
      <c r="E314" s="68"/>
      <c r="F314" s="68"/>
      <c r="G314" s="68"/>
      <c r="H314" s="68"/>
      <c r="I314" s="68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</row>
    <row r="315" spans="2:25" x14ac:dyDescent="0.25">
      <c r="B315" s="59"/>
      <c r="C315" s="59"/>
      <c r="D315" s="59"/>
      <c r="E315" s="59"/>
      <c r="F315" s="59"/>
      <c r="G315" s="59"/>
      <c r="H315" s="59"/>
      <c r="I315" s="5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</row>
    <row r="316" spans="2:25" x14ac:dyDescent="0.25">
      <c r="B316" s="66"/>
      <c r="C316" s="66"/>
      <c r="D316" s="66"/>
      <c r="E316" s="66"/>
      <c r="F316" s="66"/>
      <c r="G316" s="66"/>
      <c r="H316" s="66"/>
      <c r="I316" s="66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</row>
    <row r="317" spans="2:25" x14ac:dyDescent="0.25"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</row>
    <row r="318" spans="2:25" x14ac:dyDescent="0.25">
      <c r="B318" s="26" t="s">
        <v>280</v>
      </c>
      <c r="C318" s="26"/>
      <c r="D318" s="26"/>
      <c r="E318" s="26"/>
      <c r="F318" s="26"/>
      <c r="G318" s="26"/>
      <c r="H318" s="26"/>
      <c r="I318" s="26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</row>
    <row r="319" spans="2:25" x14ac:dyDescent="0.25">
      <c r="B319" s="25" t="s">
        <v>59</v>
      </c>
      <c r="C319" s="25"/>
      <c r="D319" s="25"/>
      <c r="E319" s="25"/>
      <c r="F319" s="25"/>
      <c r="G319" s="25"/>
      <c r="H319" s="55" t="s">
        <v>259</v>
      </c>
      <c r="I319" s="55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</row>
    <row r="320" spans="2:25" x14ac:dyDescent="0.25">
      <c r="B320" s="9" t="s">
        <v>263</v>
      </c>
      <c r="C320" s="9"/>
      <c r="D320" s="9"/>
      <c r="E320" s="9"/>
      <c r="F320" s="9"/>
      <c r="G320" s="9"/>
      <c r="H320" s="60" t="str">
        <f>IF(Levantamento!$H$298&gt;Levantamento!$H$306,"Viável","Inviável")</f>
        <v>Inviável</v>
      </c>
      <c r="I320" s="60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</row>
    <row r="321" spans="2:25" x14ac:dyDescent="0.25">
      <c r="B321" s="9" t="s">
        <v>267</v>
      </c>
      <c r="C321" s="9"/>
      <c r="D321" s="9"/>
      <c r="E321" s="9"/>
      <c r="F321" s="9"/>
      <c r="G321" s="7"/>
      <c r="H321" s="61" t="str">
        <f>IF(Levantamento!$H$304&gt;0, "Viável", "Inviável")</f>
        <v>Inviável</v>
      </c>
      <c r="I321" s="61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</row>
    <row r="322" spans="2:25" x14ac:dyDescent="0.25">
      <c r="B322" s="9" t="s">
        <v>271</v>
      </c>
      <c r="C322" s="9"/>
      <c r="D322" s="9"/>
      <c r="E322" s="9"/>
      <c r="F322" s="9"/>
      <c r="G322" s="9"/>
      <c r="H322" s="61" t="str">
        <f>IF(AND(Levantamento!$H$308 &gt; Levantamento!$H$306, Levantamento!$H$305 &gt; Levantamento!$H$306), "Viável", "Inviável")</f>
        <v>Inviável</v>
      </c>
      <c r="I322" s="61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</row>
    <row r="323" spans="2:25" x14ac:dyDescent="0.25">
      <c r="B323" s="9" t="s">
        <v>301</v>
      </c>
      <c r="C323" s="9"/>
      <c r="D323" s="9"/>
      <c r="E323" s="9"/>
      <c r="F323" s="9"/>
      <c r="G323" s="9"/>
      <c r="H323" s="61" t="str">
        <f>IF(AND(Levantamento!$I$219="Novo", Levantamento!$I$211&gt;30000), "Inviável",IF(AND(Levantamento!$I$219="Renovação", Levantamento!$I$211&gt;50000),"Inviável","Viável"))</f>
        <v>Viável</v>
      </c>
      <c r="I323" s="61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</row>
    <row r="324" spans="2:25" x14ac:dyDescent="0.25">
      <c r="B324" s="9" t="s">
        <v>400</v>
      </c>
      <c r="C324" s="9"/>
      <c r="D324" s="9"/>
      <c r="E324" s="9"/>
      <c r="F324" s="9"/>
      <c r="G324" s="9"/>
      <c r="H324" s="61" t="str">
        <f>IF(Levantamento!$I$211&lt;=(Levantamento!$H$33*IF(I219="RENOVAÇÃO",0.7,0.3)),"Viável","Inviável")</f>
        <v>Viável</v>
      </c>
      <c r="I324" s="61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</row>
    <row r="325" spans="2:25" x14ac:dyDescent="0.25">
      <c r="B325" s="9" t="s">
        <v>303</v>
      </c>
      <c r="C325" s="9"/>
      <c r="D325" s="9"/>
      <c r="E325" s="9"/>
      <c r="F325" s="9"/>
      <c r="G325" s="9"/>
      <c r="H325" s="61" t="str">
        <f>IF(Levantamento!$H$144&lt;=Levantamento!$H$145,"Viável","Inviável")</f>
        <v>Viável</v>
      </c>
      <c r="I325" s="61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</row>
    <row r="326" spans="2:25" x14ac:dyDescent="0.25">
      <c r="B326" s="9" t="s">
        <v>302</v>
      </c>
      <c r="C326" s="9"/>
      <c r="D326" s="9"/>
      <c r="E326" s="9"/>
      <c r="F326" s="9"/>
      <c r="G326" s="9"/>
      <c r="H326" s="61" t="str">
        <f>IF(Levantamento!$H$170&gt;=Levantamento!$H$171,"Viável","Inviável")</f>
        <v>Viável</v>
      </c>
      <c r="I326" s="61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</row>
    <row r="327" spans="2:25" x14ac:dyDescent="0.25">
      <c r="B327" s="9" t="s">
        <v>305</v>
      </c>
      <c r="C327" s="9"/>
      <c r="D327" s="9"/>
      <c r="E327" s="9"/>
      <c r="F327" s="9"/>
      <c r="G327" s="9"/>
      <c r="H327" s="67" t="str">
        <f>IF(Levantamento!H306&lt;=Levantamento!D6,"Viável","Inviável")</f>
        <v>Viável</v>
      </c>
      <c r="I327" s="67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</row>
    <row r="328" spans="2:25" x14ac:dyDescent="0.25">
      <c r="B328" s="8" t="str">
        <f>_xlfn.CONCAT("Sobreposição"," ",Levantamento!H47)</f>
        <v xml:space="preserve">Sobreposição </v>
      </c>
      <c r="C328" s="24"/>
      <c r="D328" s="24"/>
      <c r="E328" s="24"/>
      <c r="F328" s="24"/>
      <c r="G328" s="24"/>
      <c r="H328" s="54" t="str">
        <f>IF(OR(Levantamento!H47="até 5%", Levantamento!H47="não se aplica"), "Viável", IF(Levantamento!H47="", "Inviável (campo vazio)", "Inviável"))</f>
        <v>Inviável (campo vazio)</v>
      </c>
      <c r="I328" s="54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</row>
    <row r="329" spans="2:25" x14ac:dyDescent="0.25"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</row>
    <row r="330" spans="2:25" x14ac:dyDescent="0.25">
      <c r="B330" s="26" t="s">
        <v>310</v>
      </c>
      <c r="C330" s="26"/>
      <c r="D330" s="26"/>
      <c r="E330" s="26"/>
      <c r="F330" s="26"/>
      <c r="G330" s="26"/>
      <c r="H330" s="26"/>
      <c r="I330" s="26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</row>
    <row r="331" spans="2:25" ht="15" customHeight="1" x14ac:dyDescent="0.25">
      <c r="B331" s="59" t="str">
        <f>IF(H328="Inviável","Nota: Apresentar Declaração de Posse Mansa e Pacífica se a sobreposição for apenas sobre outros imóveis. Caso a sobreposição envolva assentamento, apresentar espelho de assentado. Para os demais casos, consultar a agência.","Documento do Imóvel: Sem notificação")</f>
        <v>Documento do Imóvel: Sem notificação</v>
      </c>
      <c r="C331" s="59"/>
      <c r="D331" s="59"/>
      <c r="E331" s="59"/>
      <c r="F331" s="59"/>
      <c r="G331" s="59"/>
      <c r="H331" s="59"/>
      <c r="I331" s="5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</row>
    <row r="332" spans="2:25" x14ac:dyDescent="0.25">
      <c r="B332" s="59"/>
      <c r="C332" s="59"/>
      <c r="D332" s="59"/>
      <c r="E332" s="59"/>
      <c r="F332" s="59"/>
      <c r="G332" s="59"/>
      <c r="H332" s="59"/>
      <c r="I332" s="5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</row>
    <row r="333" spans="2:25" x14ac:dyDescent="0.25">
      <c r="B333" s="59" t="str">
        <f>IF(H323="Inviável","Projetista: Limite da linha extrapolado, ajuste o orçamento","Sem notificação")</f>
        <v>Sem notificação</v>
      </c>
      <c r="C333" s="59"/>
      <c r="D333" s="59"/>
      <c r="E333" s="59"/>
      <c r="F333" s="59"/>
      <c r="G333" s="59"/>
      <c r="H333" s="59"/>
      <c r="I333" s="5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</row>
    <row r="334" spans="2:25" x14ac:dyDescent="0.25">
      <c r="B334" s="59" t="str">
        <f>IF(H324="Inviável","Projetista: orçamento extrapola o percentual de 30% da renda do empreendimento, realize o ajuste","Sem Notificação")</f>
        <v>Sem Notificação</v>
      </c>
      <c r="C334" s="59"/>
      <c r="D334" s="59"/>
      <c r="E334" s="59"/>
      <c r="F334" s="59"/>
      <c r="G334" s="59"/>
      <c r="H334" s="59"/>
      <c r="I334" s="5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</row>
    <row r="335" spans="2:25" x14ac:dyDescent="0.25">
      <c r="B335" s="59" t="str">
        <f>IF(H325="Inviável","Projetista: o valor inserido no quadro de receita extrapola o parâmetro definido para o cliente","Sem Notificação")</f>
        <v>Sem Notificação</v>
      </c>
      <c r="C335" s="59"/>
      <c r="D335" s="59"/>
      <c r="E335" s="59"/>
      <c r="F335" s="59"/>
      <c r="G335" s="59"/>
      <c r="H335" s="59"/>
      <c r="I335" s="5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</row>
    <row r="336" spans="2:25" x14ac:dyDescent="0.25">
      <c r="B336" s="66" t="str">
        <f>IF(H326="Inviável","Projetista: o valor inserido no quadro de custos não cobre o parâmetro mínimo definido para o cliente","Sem Notificação")</f>
        <v>Sem Notificação</v>
      </c>
      <c r="C336" s="66"/>
      <c r="D336" s="66"/>
      <c r="E336" s="66"/>
      <c r="F336" s="66"/>
      <c r="G336" s="66"/>
      <c r="H336" s="66"/>
      <c r="I336" s="66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</row>
    <row r="337" spans="2:25" x14ac:dyDescent="0.25">
      <c r="B337" s="43"/>
      <c r="C337" s="43"/>
      <c r="D337" s="43"/>
      <c r="E337" s="43"/>
      <c r="F337" s="43"/>
      <c r="G337" s="43"/>
      <c r="H337" s="43"/>
      <c r="I337" s="43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</row>
    <row r="338" spans="2:25" ht="15" customHeight="1" x14ac:dyDescent="0.25">
      <c r="B338" s="58" t="s">
        <v>309</v>
      </c>
      <c r="C338" s="58"/>
      <c r="D338" s="58"/>
      <c r="E338" s="58"/>
      <c r="F338" s="58"/>
      <c r="G338" s="58"/>
      <c r="H338" s="58"/>
      <c r="I338" s="58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</row>
    <row r="339" spans="2:25" ht="15" customHeight="1" x14ac:dyDescent="0.25">
      <c r="B339" s="58" t="s">
        <v>317</v>
      </c>
      <c r="C339" s="58"/>
      <c r="D339" s="58"/>
      <c r="E339" s="58"/>
      <c r="F339" s="58"/>
      <c r="G339" s="58"/>
      <c r="H339" s="58"/>
      <c r="I339" s="58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</row>
    <row r="340" spans="2:25" x14ac:dyDescent="0.25">
      <c r="B340" s="58"/>
      <c r="C340" s="58"/>
      <c r="D340" s="58"/>
      <c r="E340" s="58"/>
      <c r="F340" s="58"/>
      <c r="G340" s="58"/>
      <c r="H340" s="58"/>
      <c r="I340" s="58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</row>
    <row r="341" spans="2:25" x14ac:dyDescent="0.25">
      <c r="B341" s="58"/>
      <c r="C341" s="58"/>
      <c r="D341" s="58"/>
      <c r="E341" s="58"/>
      <c r="F341" s="58"/>
      <c r="G341" s="58"/>
      <c r="H341" s="58"/>
      <c r="I341" s="58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</row>
    <row r="342" spans="2:25" ht="15" customHeight="1" x14ac:dyDescent="0.25">
      <c r="B342" s="58" t="s">
        <v>318</v>
      </c>
      <c r="C342" s="58"/>
      <c r="D342" s="58"/>
      <c r="E342" s="58"/>
      <c r="F342" s="58"/>
      <c r="G342" s="58"/>
      <c r="H342" s="58"/>
      <c r="I342" s="58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</row>
    <row r="343" spans="2:25" x14ac:dyDescent="0.25">
      <c r="B343" s="58"/>
      <c r="C343" s="58"/>
      <c r="D343" s="58"/>
      <c r="E343" s="58"/>
      <c r="F343" s="58"/>
      <c r="G343" s="58"/>
      <c r="H343" s="58"/>
      <c r="I343" s="58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</row>
    <row r="344" spans="2:25" ht="15" customHeight="1" x14ac:dyDescent="0.25">
      <c r="B344" s="58" t="s">
        <v>319</v>
      </c>
      <c r="C344" s="58"/>
      <c r="D344" s="58"/>
      <c r="E344" s="58"/>
      <c r="F344" s="58"/>
      <c r="G344" s="58"/>
      <c r="H344" s="58"/>
      <c r="I344" s="58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</row>
    <row r="345" spans="2:25" x14ac:dyDescent="0.25">
      <c r="B345" s="58"/>
      <c r="C345" s="58"/>
      <c r="D345" s="58"/>
      <c r="E345" s="58"/>
      <c r="F345" s="58"/>
      <c r="G345" s="58"/>
      <c r="H345" s="58"/>
      <c r="I345" s="58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</row>
    <row r="346" spans="2:25" x14ac:dyDescent="0.25">
      <c r="B346" s="58"/>
      <c r="C346" s="58"/>
      <c r="D346" s="58"/>
      <c r="E346" s="58"/>
      <c r="F346" s="58"/>
      <c r="G346" s="58"/>
      <c r="H346" s="58"/>
      <c r="I346" s="58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</row>
    <row r="347" spans="2:25" ht="15" customHeight="1" x14ac:dyDescent="0.25">
      <c r="B347" s="58" t="s">
        <v>307</v>
      </c>
      <c r="C347" s="58"/>
      <c r="D347" s="58"/>
      <c r="E347" s="58"/>
      <c r="F347" s="58"/>
      <c r="G347" s="58"/>
      <c r="H347" s="58"/>
      <c r="I347" s="58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</row>
    <row r="348" spans="2:25" ht="15" customHeight="1" x14ac:dyDescent="0.25">
      <c r="B348" s="58" t="s">
        <v>308</v>
      </c>
      <c r="C348" s="58"/>
      <c r="D348" s="58"/>
      <c r="E348" s="58"/>
      <c r="F348" s="58"/>
      <c r="G348" s="58"/>
      <c r="H348" s="58"/>
      <c r="I348" s="58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</row>
    <row r="349" spans="2:25" ht="15" customHeight="1" x14ac:dyDescent="0.25">
      <c r="B349" s="58" t="s">
        <v>315</v>
      </c>
      <c r="C349" s="58"/>
      <c r="D349" s="58"/>
      <c r="E349" s="58"/>
      <c r="F349" s="58"/>
      <c r="G349" s="58"/>
      <c r="H349" s="58"/>
      <c r="I349" s="58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</row>
    <row r="350" spans="2:25" ht="15" customHeight="1" x14ac:dyDescent="0.25">
      <c r="B350" s="58" t="s">
        <v>316</v>
      </c>
      <c r="C350" s="58"/>
      <c r="D350" s="58"/>
      <c r="E350" s="58"/>
      <c r="F350" s="58"/>
      <c r="G350" s="58"/>
      <c r="H350" s="58"/>
      <c r="I350" s="58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</row>
    <row r="351" spans="2:25" ht="15" customHeight="1" x14ac:dyDescent="0.25">
      <c r="B351" s="58" t="s">
        <v>320</v>
      </c>
      <c r="C351" s="58"/>
      <c r="D351" s="58"/>
      <c r="E351" s="58"/>
      <c r="F351" s="58"/>
      <c r="G351" s="58"/>
      <c r="H351" s="58"/>
      <c r="I351" s="58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</row>
    <row r="352" spans="2:25" ht="15" customHeight="1" x14ac:dyDescent="0.25">
      <c r="B352" s="58" t="s">
        <v>321</v>
      </c>
      <c r="C352" s="58"/>
      <c r="D352" s="58"/>
      <c r="E352" s="58"/>
      <c r="F352" s="58"/>
      <c r="G352" s="58"/>
      <c r="H352" s="58"/>
      <c r="I352" s="58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</row>
    <row r="353" spans="2:9" x14ac:dyDescent="0.25">
      <c r="B353" s="58"/>
      <c r="C353" s="58"/>
      <c r="D353" s="58"/>
      <c r="E353" s="58"/>
      <c r="F353" s="58"/>
      <c r="G353" s="58"/>
      <c r="H353" s="58"/>
      <c r="I353" s="58"/>
    </row>
  </sheetData>
  <sheetProtection algorithmName="SHA-512" hashValue="cEEiTj6GSNKji567MtcivHdqVj9esv47fRgf2H4u/a5IBARmJKW4FHr+zaCbf8RRglj0Z0YJhhEMyZ6s8iZ69g==" saltValue="c95HqGtEQ2rwOt4CTOcJmQ==" spinCount="100000" sheet="1" objects="1" scenarios="1"/>
  <mergeCells count="537">
    <mergeCell ref="B143:C143"/>
    <mergeCell ref="B133:I133"/>
    <mergeCell ref="F16:G16"/>
    <mergeCell ref="H16:I16"/>
    <mergeCell ref="B14:G14"/>
    <mergeCell ref="H17:I17"/>
    <mergeCell ref="B13:I13"/>
    <mergeCell ref="B17:C17"/>
    <mergeCell ref="D17:E17"/>
    <mergeCell ref="B16:C16"/>
    <mergeCell ref="D16:E16"/>
    <mergeCell ref="F17:G17"/>
    <mergeCell ref="B15:I15"/>
    <mergeCell ref="H14:I14"/>
    <mergeCell ref="B142:C142"/>
    <mergeCell ref="F135:G135"/>
    <mergeCell ref="F136:G136"/>
    <mergeCell ref="F137:G137"/>
    <mergeCell ref="B335:I335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H109:I109"/>
    <mergeCell ref="H110:I110"/>
    <mergeCell ref="H111:I111"/>
    <mergeCell ref="B33:G33"/>
    <mergeCell ref="H33:I33"/>
    <mergeCell ref="B144:G144"/>
    <mergeCell ref="F143:G143"/>
    <mergeCell ref="F142:G142"/>
    <mergeCell ref="B121:I121"/>
    <mergeCell ref="H112:I112"/>
    <mergeCell ref="B109:G109"/>
    <mergeCell ref="B110:G110"/>
    <mergeCell ref="B111:G111"/>
    <mergeCell ref="B112:G112"/>
    <mergeCell ref="B113:G113"/>
    <mergeCell ref="H113:I113"/>
    <mergeCell ref="G114:I114"/>
    <mergeCell ref="B122:C122"/>
    <mergeCell ref="H122:I122"/>
    <mergeCell ref="F122:G122"/>
    <mergeCell ref="D122:E122"/>
    <mergeCell ref="B117:C117"/>
    <mergeCell ref="D117:F117"/>
    <mergeCell ref="B123:C123"/>
    <mergeCell ref="F124:G124"/>
    <mergeCell ref="F125:G125"/>
    <mergeCell ref="B124:C124"/>
    <mergeCell ref="H126:I126"/>
    <mergeCell ref="B125:C125"/>
    <mergeCell ref="B126:C126"/>
    <mergeCell ref="B135:C135"/>
    <mergeCell ref="B119:C119"/>
    <mergeCell ref="D123:E123"/>
    <mergeCell ref="D124:E124"/>
    <mergeCell ref="D125:E125"/>
    <mergeCell ref="F123:G123"/>
    <mergeCell ref="F126:G126"/>
    <mergeCell ref="H123:I123"/>
    <mergeCell ref="H124:I124"/>
    <mergeCell ref="H125:I125"/>
    <mergeCell ref="D126:E126"/>
    <mergeCell ref="B103:G103"/>
    <mergeCell ref="B104:G104"/>
    <mergeCell ref="B105:G105"/>
    <mergeCell ref="H102:I102"/>
    <mergeCell ref="H103:I103"/>
    <mergeCell ref="H104:I104"/>
    <mergeCell ref="B107:G107"/>
    <mergeCell ref="B106:G106"/>
    <mergeCell ref="B118:C118"/>
    <mergeCell ref="H105:I105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27:C27"/>
    <mergeCell ref="D27:E27"/>
    <mergeCell ref="F27:G27"/>
    <mergeCell ref="B6:C6"/>
    <mergeCell ref="D6:I6"/>
    <mergeCell ref="F25:G25"/>
    <mergeCell ref="H25:I25"/>
    <mergeCell ref="B26:C26"/>
    <mergeCell ref="D26:E26"/>
    <mergeCell ref="F26:G26"/>
    <mergeCell ref="H26:I26"/>
    <mergeCell ref="B55:C55"/>
    <mergeCell ref="B40:C40"/>
    <mergeCell ref="D40:I40"/>
    <mergeCell ref="F44:G44"/>
    <mergeCell ref="H44:I44"/>
    <mergeCell ref="F43:G43"/>
    <mergeCell ref="H43:I43"/>
    <mergeCell ref="H20:I20"/>
    <mergeCell ref="F21:G21"/>
    <mergeCell ref="H21:I21"/>
    <mergeCell ref="B22:I22"/>
    <mergeCell ref="B24:C24"/>
    <mergeCell ref="D24:E24"/>
    <mergeCell ref="F24:G24"/>
    <mergeCell ref="H24:I24"/>
    <mergeCell ref="D39:E39"/>
    <mergeCell ref="B2:I2"/>
    <mergeCell ref="B81:C81"/>
    <mergeCell ref="B80:C80"/>
    <mergeCell ref="D80:F80"/>
    <mergeCell ref="G80:I80"/>
    <mergeCell ref="D81:F81"/>
    <mergeCell ref="G81:I81"/>
    <mergeCell ref="B5:C5"/>
    <mergeCell ref="D5:I5"/>
    <mergeCell ref="B4:C4"/>
    <mergeCell ref="D4:I4"/>
    <mergeCell ref="B10:C10"/>
    <mergeCell ref="D10:I10"/>
    <mergeCell ref="B11:C11"/>
    <mergeCell ref="D11:I11"/>
    <mergeCell ref="B37:C37"/>
    <mergeCell ref="B35:I35"/>
    <mergeCell ref="B9:C9"/>
    <mergeCell ref="B69:G69"/>
    <mergeCell ref="B70:G70"/>
    <mergeCell ref="B71:G71"/>
    <mergeCell ref="B72:G72"/>
    <mergeCell ref="B25:C25"/>
    <mergeCell ref="D25:E25"/>
    <mergeCell ref="B63:G63"/>
    <mergeCell ref="H63:I63"/>
    <mergeCell ref="H74:I74"/>
    <mergeCell ref="F91:I91"/>
    <mergeCell ref="B92:E92"/>
    <mergeCell ref="F92:I92"/>
    <mergeCell ref="B94:I94"/>
    <mergeCell ref="B95:G95"/>
    <mergeCell ref="H95:I95"/>
    <mergeCell ref="B82:C82"/>
    <mergeCell ref="B64:G64"/>
    <mergeCell ref="B66:G66"/>
    <mergeCell ref="B67:G67"/>
    <mergeCell ref="B77:I77"/>
    <mergeCell ref="B85:I85"/>
    <mergeCell ref="B83:C84"/>
    <mergeCell ref="D82:I84"/>
    <mergeCell ref="H73:I73"/>
    <mergeCell ref="B74:G74"/>
    <mergeCell ref="H72:I72"/>
    <mergeCell ref="H75:I75"/>
    <mergeCell ref="B73:G73"/>
    <mergeCell ref="B65:G65"/>
    <mergeCell ref="H64:I64"/>
    <mergeCell ref="H55:I55"/>
    <mergeCell ref="D46:E46"/>
    <mergeCell ref="H47:I47"/>
    <mergeCell ref="H46:I46"/>
    <mergeCell ref="B53:C53"/>
    <mergeCell ref="D53:F53"/>
    <mergeCell ref="G53:I53"/>
    <mergeCell ref="B54:C54"/>
    <mergeCell ref="D54:F54"/>
    <mergeCell ref="G54:I54"/>
    <mergeCell ref="B49:I49"/>
    <mergeCell ref="F55:G55"/>
    <mergeCell ref="F46:G46"/>
    <mergeCell ref="B47:C47"/>
    <mergeCell ref="D47:E47"/>
    <mergeCell ref="F47:G47"/>
    <mergeCell ref="B51:C51"/>
    <mergeCell ref="D51:F51"/>
    <mergeCell ref="F59:G59"/>
    <mergeCell ref="G52:I52"/>
    <mergeCell ref="D52:F52"/>
    <mergeCell ref="B52:C52"/>
    <mergeCell ref="G51:I51"/>
    <mergeCell ref="B285:H285"/>
    <mergeCell ref="B284:H284"/>
    <mergeCell ref="B167:G167"/>
    <mergeCell ref="B215:D215"/>
    <mergeCell ref="E215:I215"/>
    <mergeCell ref="B177:I177"/>
    <mergeCell ref="B191:H191"/>
    <mergeCell ref="B206:H206"/>
    <mergeCell ref="B209:H209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187:E187"/>
    <mergeCell ref="B248:C248"/>
    <mergeCell ref="D228:I228"/>
    <mergeCell ref="D256:I256"/>
    <mergeCell ref="B188:E188"/>
    <mergeCell ref="B189:E189"/>
    <mergeCell ref="B190:E190"/>
    <mergeCell ref="B186:E186"/>
    <mergeCell ref="H167:I167"/>
    <mergeCell ref="B211:H211"/>
    <mergeCell ref="B207:H207"/>
    <mergeCell ref="B171:G171"/>
    <mergeCell ref="B194:E194"/>
    <mergeCell ref="B195:E195"/>
    <mergeCell ref="B196:E196"/>
    <mergeCell ref="H171:I171"/>
    <mergeCell ref="B214:I214"/>
    <mergeCell ref="B216:H216"/>
    <mergeCell ref="H23:I23"/>
    <mergeCell ref="B217:H217"/>
    <mergeCell ref="B218:H218"/>
    <mergeCell ref="B292:I292"/>
    <mergeCell ref="B283:H283"/>
    <mergeCell ref="B282:H282"/>
    <mergeCell ref="B286:H286"/>
    <mergeCell ref="B281:H281"/>
    <mergeCell ref="B280:H280"/>
    <mergeCell ref="B279:H279"/>
    <mergeCell ref="B278:H278"/>
    <mergeCell ref="B266:I270"/>
    <mergeCell ref="B272:I276"/>
    <mergeCell ref="B271:I271"/>
    <mergeCell ref="B277:I277"/>
    <mergeCell ref="B290:H290"/>
    <mergeCell ref="B289:H289"/>
    <mergeCell ref="B288:H288"/>
    <mergeCell ref="B287:H287"/>
    <mergeCell ref="B258:I258"/>
    <mergeCell ref="B259:I259"/>
    <mergeCell ref="B256:C256"/>
    <mergeCell ref="F129:I129"/>
    <mergeCell ref="B46:C46"/>
    <mergeCell ref="B61:G61"/>
    <mergeCell ref="B19:I19"/>
    <mergeCell ref="C20:E20"/>
    <mergeCell ref="C21:E21"/>
    <mergeCell ref="F20:G20"/>
    <mergeCell ref="B265:I265"/>
    <mergeCell ref="B166:G166"/>
    <mergeCell ref="H166:I166"/>
    <mergeCell ref="B226:C226"/>
    <mergeCell ref="B237:C237"/>
    <mergeCell ref="B222:I222"/>
    <mergeCell ref="B224:C224"/>
    <mergeCell ref="B225:C225"/>
    <mergeCell ref="D224:I224"/>
    <mergeCell ref="D225:I225"/>
    <mergeCell ref="D226:I226"/>
    <mergeCell ref="B231:C231"/>
    <mergeCell ref="D231:I231"/>
    <mergeCell ref="B183:E183"/>
    <mergeCell ref="B184:E184"/>
    <mergeCell ref="B185:E185"/>
    <mergeCell ref="B39:C39"/>
    <mergeCell ref="B145:G145"/>
    <mergeCell ref="H145:I145"/>
    <mergeCell ref="B96:G96"/>
    <mergeCell ref="F23:G23"/>
    <mergeCell ref="D23:E23"/>
    <mergeCell ref="B23:C23"/>
    <mergeCell ref="F39:G39"/>
    <mergeCell ref="B129:E129"/>
    <mergeCell ref="F60:G60"/>
    <mergeCell ref="H56:I56"/>
    <mergeCell ref="H57:I57"/>
    <mergeCell ref="H58:I58"/>
    <mergeCell ref="H59:I59"/>
    <mergeCell ref="H60:I60"/>
    <mergeCell ref="B59:C59"/>
    <mergeCell ref="B60:C60"/>
    <mergeCell ref="B56:C56"/>
    <mergeCell ref="B57:C57"/>
    <mergeCell ref="B58:C58"/>
    <mergeCell ref="F56:G56"/>
    <mergeCell ref="F57:G57"/>
    <mergeCell ref="F58:G58"/>
    <mergeCell ref="F127:I127"/>
    <mergeCell ref="F128:I128"/>
    <mergeCell ref="B99:G99"/>
    <mergeCell ref="H99:I99"/>
    <mergeCell ref="B79:I79"/>
    <mergeCell ref="B127:E127"/>
    <mergeCell ref="B86:I90"/>
    <mergeCell ref="B91:E91"/>
    <mergeCell ref="B128:E128"/>
    <mergeCell ref="B97:G97"/>
    <mergeCell ref="H97:I97"/>
    <mergeCell ref="B100:G100"/>
    <mergeCell ref="H100:I100"/>
    <mergeCell ref="G119:I119"/>
    <mergeCell ref="G118:I118"/>
    <mergeCell ref="G117:I117"/>
    <mergeCell ref="D119:F119"/>
    <mergeCell ref="D118:F118"/>
    <mergeCell ref="B101:G101"/>
    <mergeCell ref="H101:I101"/>
    <mergeCell ref="H96:I96"/>
    <mergeCell ref="B115:I115"/>
    <mergeCell ref="B116:I116"/>
    <mergeCell ref="H106:I106"/>
    <mergeCell ref="H107:I107"/>
    <mergeCell ref="B102:G102"/>
    <mergeCell ref="H65:I65"/>
    <mergeCell ref="H66:I66"/>
    <mergeCell ref="H67:I67"/>
    <mergeCell ref="H68:I68"/>
    <mergeCell ref="H69:I69"/>
    <mergeCell ref="H70:I70"/>
    <mergeCell ref="H71:I71"/>
    <mergeCell ref="B68:G68"/>
    <mergeCell ref="B98:G98"/>
    <mergeCell ref="H98:I98"/>
    <mergeCell ref="B75:G75"/>
    <mergeCell ref="B131:I131"/>
    <mergeCell ref="H136:I136"/>
    <mergeCell ref="H137:I137"/>
    <mergeCell ref="H138:I138"/>
    <mergeCell ref="H139:I139"/>
    <mergeCell ref="H140:I140"/>
    <mergeCell ref="H141:I141"/>
    <mergeCell ref="F140:G140"/>
    <mergeCell ref="F141:G141"/>
    <mergeCell ref="F138:G138"/>
    <mergeCell ref="F139:G139"/>
    <mergeCell ref="H134:I134"/>
    <mergeCell ref="H135:I135"/>
    <mergeCell ref="B136:C136"/>
    <mergeCell ref="B137:C137"/>
    <mergeCell ref="B138:C138"/>
    <mergeCell ref="B139:C139"/>
    <mergeCell ref="B140:C140"/>
    <mergeCell ref="B141:C141"/>
    <mergeCell ref="B134:C134"/>
    <mergeCell ref="F134:G134"/>
    <mergeCell ref="B160:G160"/>
    <mergeCell ref="H160:I160"/>
    <mergeCell ref="H161:I161"/>
    <mergeCell ref="H163:I163"/>
    <mergeCell ref="H164:I164"/>
    <mergeCell ref="H165:I165"/>
    <mergeCell ref="B151:I151"/>
    <mergeCell ref="B152:C152"/>
    <mergeCell ref="B153:C153"/>
    <mergeCell ref="B154:C154"/>
    <mergeCell ref="B155:C155"/>
    <mergeCell ref="B156:C156"/>
    <mergeCell ref="D152:E152"/>
    <mergeCell ref="D153:E153"/>
    <mergeCell ref="D154:E154"/>
    <mergeCell ref="D155:E155"/>
    <mergeCell ref="D156:E156"/>
    <mergeCell ref="F152:G152"/>
    <mergeCell ref="F153:G153"/>
    <mergeCell ref="F154:G154"/>
    <mergeCell ref="F155:G155"/>
    <mergeCell ref="F156:G156"/>
    <mergeCell ref="H152:I152"/>
    <mergeCell ref="H142:I142"/>
    <mergeCell ref="H143:I143"/>
    <mergeCell ref="H144:I144"/>
    <mergeCell ref="B175:I175"/>
    <mergeCell ref="B178:E178"/>
    <mergeCell ref="B179:E179"/>
    <mergeCell ref="B180:E180"/>
    <mergeCell ref="B181:E181"/>
    <mergeCell ref="B182:E182"/>
    <mergeCell ref="B157:G157"/>
    <mergeCell ref="H157:I157"/>
    <mergeCell ref="H168:I168"/>
    <mergeCell ref="B168:G168"/>
    <mergeCell ref="B170:G170"/>
    <mergeCell ref="H170:I170"/>
    <mergeCell ref="H153:I153"/>
    <mergeCell ref="H154:I154"/>
    <mergeCell ref="H155:I155"/>
    <mergeCell ref="H156:I156"/>
    <mergeCell ref="B159:I159"/>
    <mergeCell ref="B161:G161"/>
    <mergeCell ref="B163:G163"/>
    <mergeCell ref="B164:G164"/>
    <mergeCell ref="B165:G165"/>
    <mergeCell ref="B239:C239"/>
    <mergeCell ref="B242:C242"/>
    <mergeCell ref="D242:I242"/>
    <mergeCell ref="D243:I243"/>
    <mergeCell ref="D244:I244"/>
    <mergeCell ref="B230:C230"/>
    <mergeCell ref="D230:I230"/>
    <mergeCell ref="B233:C233"/>
    <mergeCell ref="B232:C232"/>
    <mergeCell ref="H299:I299"/>
    <mergeCell ref="H300:I300"/>
    <mergeCell ref="H301:I301"/>
    <mergeCell ref="H302:I302"/>
    <mergeCell ref="D253:I253"/>
    <mergeCell ref="B227:C227"/>
    <mergeCell ref="D234:I234"/>
    <mergeCell ref="D240:I240"/>
    <mergeCell ref="D246:I246"/>
    <mergeCell ref="D239:I239"/>
    <mergeCell ref="D227:I227"/>
    <mergeCell ref="D233:I233"/>
    <mergeCell ref="D245:I245"/>
    <mergeCell ref="D248:I248"/>
    <mergeCell ref="B236:C236"/>
    <mergeCell ref="D236:I236"/>
    <mergeCell ref="D237:I237"/>
    <mergeCell ref="D238:I238"/>
    <mergeCell ref="B260:I264"/>
    <mergeCell ref="B228:C228"/>
    <mergeCell ref="B238:C238"/>
    <mergeCell ref="D255:I255"/>
    <mergeCell ref="D252:I252"/>
    <mergeCell ref="D254:I254"/>
    <mergeCell ref="B1:I1"/>
    <mergeCell ref="B45:C45"/>
    <mergeCell ref="D45:I45"/>
    <mergeCell ref="F42:G42"/>
    <mergeCell ref="B43:C43"/>
    <mergeCell ref="H41:I41"/>
    <mergeCell ref="H42:I42"/>
    <mergeCell ref="D43:E43"/>
    <mergeCell ref="D42:E42"/>
    <mergeCell ref="D41:E41"/>
    <mergeCell ref="H39:I39"/>
    <mergeCell ref="B7:C7"/>
    <mergeCell ref="D7:I7"/>
    <mergeCell ref="D9:I9"/>
    <mergeCell ref="D8:I8"/>
    <mergeCell ref="B8:C8"/>
    <mergeCell ref="B38:C38"/>
    <mergeCell ref="D38:I38"/>
    <mergeCell ref="D44:E44"/>
    <mergeCell ref="B41:C41"/>
    <mergeCell ref="F41:G41"/>
    <mergeCell ref="B42:C42"/>
    <mergeCell ref="B44:C44"/>
    <mergeCell ref="D37:I37"/>
    <mergeCell ref="H61:I61"/>
    <mergeCell ref="H294:I294"/>
    <mergeCell ref="H295:I295"/>
    <mergeCell ref="B149:I149"/>
    <mergeCell ref="B146:G146"/>
    <mergeCell ref="H146:I146"/>
    <mergeCell ref="B172:G172"/>
    <mergeCell ref="H172:I172"/>
    <mergeCell ref="B162:G162"/>
    <mergeCell ref="H162:I162"/>
    <mergeCell ref="B219:H219"/>
    <mergeCell ref="B220:H220"/>
    <mergeCell ref="D232:I232"/>
    <mergeCell ref="B210:H210"/>
    <mergeCell ref="B192:I192"/>
    <mergeCell ref="B193:E193"/>
    <mergeCell ref="B108:G108"/>
    <mergeCell ref="H108:I108"/>
    <mergeCell ref="B250:I250"/>
    <mergeCell ref="B255:C255"/>
    <mergeCell ref="B253:C253"/>
    <mergeCell ref="B252:C252"/>
    <mergeCell ref="B254:C254"/>
    <mergeCell ref="H293:I293"/>
    <mergeCell ref="B338:I338"/>
    <mergeCell ref="B331:I332"/>
    <mergeCell ref="H320:I320"/>
    <mergeCell ref="H321:I321"/>
    <mergeCell ref="H322:I322"/>
    <mergeCell ref="H311:I311"/>
    <mergeCell ref="B311:G311"/>
    <mergeCell ref="H304:I304"/>
    <mergeCell ref="H309:I309"/>
    <mergeCell ref="H310:I310"/>
    <mergeCell ref="B313:I313"/>
    <mergeCell ref="B336:I336"/>
    <mergeCell ref="H323:I323"/>
    <mergeCell ref="H324:I324"/>
    <mergeCell ref="H325:I325"/>
    <mergeCell ref="H326:I326"/>
    <mergeCell ref="H327:I327"/>
    <mergeCell ref="B333:I333"/>
    <mergeCell ref="B334:I334"/>
    <mergeCell ref="B314:I316"/>
    <mergeCell ref="B310:G310"/>
    <mergeCell ref="H308:I308"/>
    <mergeCell ref="B309:G309"/>
    <mergeCell ref="B304:F304"/>
    <mergeCell ref="B352:I353"/>
    <mergeCell ref="B346:I346"/>
    <mergeCell ref="B347:I347"/>
    <mergeCell ref="B348:I348"/>
    <mergeCell ref="B349:I349"/>
    <mergeCell ref="B350:I350"/>
    <mergeCell ref="B351:I351"/>
    <mergeCell ref="B339:I341"/>
    <mergeCell ref="B342:I343"/>
    <mergeCell ref="B344:I345"/>
    <mergeCell ref="B302:G302"/>
    <mergeCell ref="H328:I328"/>
    <mergeCell ref="H319:I319"/>
    <mergeCell ref="B293:G293"/>
    <mergeCell ref="B294:G294"/>
    <mergeCell ref="B295:G295"/>
    <mergeCell ref="B296:G296"/>
    <mergeCell ref="B297:G297"/>
    <mergeCell ref="B298:G298"/>
    <mergeCell ref="B299:G299"/>
    <mergeCell ref="B300:G300"/>
    <mergeCell ref="B301:G301"/>
    <mergeCell ref="H303:I303"/>
    <mergeCell ref="H305:I305"/>
    <mergeCell ref="H306:I306"/>
    <mergeCell ref="B303:G303"/>
    <mergeCell ref="B305:G305"/>
    <mergeCell ref="B306:G306"/>
    <mergeCell ref="B307:G307"/>
    <mergeCell ref="B308:G308"/>
    <mergeCell ref="H307:I307"/>
    <mergeCell ref="H296:I296"/>
    <mergeCell ref="H297:I297"/>
    <mergeCell ref="H298:I298"/>
  </mergeCells>
  <conditionalFormatting sqref="B314:I316">
    <cfRule type="cellIs" dxfId="5" priority="9" operator="equal">
      <formula>"ATENÇÃO PROJETISTA: Solicitar simulação da parcela prevista para agência e inserir na célula H15 (orçamento + prazos)"</formula>
    </cfRule>
    <cfRule type="cellIs" dxfId="4" priority="10" operator="equal">
      <formula>"ATENÇÃO PROJETISTA:"" &amp; CARACT(10) &amp; ""Solicitar simulação da parcela prevista para agência e inserir na célula H15"" &amp; CARACT(10) &amp; ""(orçamento + prazos)""; """")"</formula>
    </cfRule>
  </conditionalFormatting>
  <conditionalFormatting sqref="H146:I146">
    <cfRule type="cellIs" dxfId="3" priority="3" operator="lessThan">
      <formula>0</formula>
    </cfRule>
  </conditionalFormatting>
  <conditionalFormatting sqref="H172:I172">
    <cfRule type="cellIs" dxfId="2" priority="2" operator="lessThan">
      <formula>0</formula>
    </cfRule>
  </conditionalFormatting>
  <conditionalFormatting sqref="H298:I298 H300:I300 H302:I302 H304:I305">
    <cfRule type="cellIs" dxfId="1" priority="6" operator="lessThan">
      <formula>0</formula>
    </cfRule>
  </conditionalFormatting>
  <conditionalFormatting sqref="H320:I328">
    <cfRule type="cellIs" dxfId="0" priority="1" operator="equal">
      <formula>"Viável"</formula>
    </cfRule>
  </conditionalFormatting>
  <dataValidations count="23">
    <dataValidation type="list" allowBlank="1" showInputMessage="1" showErrorMessage="1" sqref="D7" xr:uid="{3BDE8091-E292-43C7-AC61-6B564FBBF45C}">
      <formula1>"Própria,Cedida,Familiar"</formula1>
    </dataValidation>
    <dataValidation type="list" allowBlank="1" showInputMessage="1" showErrorMessage="1" sqref="D45" xr:uid="{9011C48E-9FD7-495B-A293-BA1E5006BD0F}">
      <mc:AlternateContent xmlns:x12ac="http://schemas.microsoft.com/office/spreadsheetml/2011/1/ac" xmlns:mc="http://schemas.openxmlformats.org/markup-compatibility/2006">
        <mc:Choice Requires="x12ac">
          <x12ac:list>"Analisado, sem pendências",Aguardando Análise,Em análise,"Analisado, aguardando atendimento à notificação"</x12ac:list>
        </mc:Choice>
        <mc:Fallback>
          <formula1>"Analisado, sem pendências,Aguardando Análise,Em análise,Analisado, aguardando atendimento à notificação"</formula1>
        </mc:Fallback>
      </mc:AlternateContent>
    </dataValidation>
    <dataValidation type="list" allowBlank="1" showInputMessage="1" showErrorMessage="1" sqref="D44" xr:uid="{5235ABBF-7339-4C74-8087-E226029568C3}">
      <formula1>"Ativo,Pendente,Cancelado,Suspenso"</formula1>
    </dataValidation>
    <dataValidation type="list" allowBlank="1" showInputMessage="1" showErrorMessage="1" sqref="F56:G60" xr:uid="{91DF28B9-CC87-4C23-9968-F053E8114808}">
      <formula1>"Salário,Aposentadoria"</formula1>
    </dataValidation>
    <dataValidation type="list" allowBlank="1" showInputMessage="1" showErrorMessage="1" sqref="D56:D60" xr:uid="{BCFBCCA5-80A9-4C7C-A5D2-ADF32A546A42}">
      <formula1>"Pai,Mãe,Irmão,Filho,Conjuge"</formula1>
    </dataValidation>
    <dataValidation type="list" allowBlank="1" showInputMessage="1" showErrorMessage="1" sqref="B81:C81" xr:uid="{BC2AC9B4-5E26-4539-8B1F-768E095BC811}">
      <formula1>"Agrícola, Pesca,Apicultura,Extrativismo,Turismo,Pecuária"</formula1>
    </dataValidation>
    <dataValidation type="list" allowBlank="1" showInputMessage="1" showErrorMessage="1" sqref="D81 I278:I290 H14:I14" xr:uid="{66B8A127-8B4C-4E78-8F75-F21D191644E0}">
      <formula1>"Sim,Não"</formula1>
    </dataValidation>
    <dataValidation type="list" allowBlank="1" showInputMessage="1" showErrorMessage="1" sqref="B83:C84" xr:uid="{CA737551-BE11-4161-A73B-A8C9D9E057FB}">
      <formula1>"Sobrevivência,Acumulação Simples,Acumulação Ampliada"</formula1>
    </dataValidation>
    <dataValidation type="list" allowBlank="1" showInputMessage="1" showErrorMessage="1" sqref="H20:I20" xr:uid="{E1D34D03-5C8C-4022-BA75-D896C03577AF}">
      <formula1>"Válido,Inválido"</formula1>
    </dataValidation>
    <dataValidation type="list" allowBlank="1" showInputMessage="1" showErrorMessage="1" promptTitle="Projetista:" prompt="Selecionar caso a taxa de elaboração seja financiada!" sqref="I209" xr:uid="{B4BB2EEE-CAF8-48A7-A053-A74EF50AE4FB}">
      <mc:AlternateContent xmlns:x12ac="http://schemas.microsoft.com/office/spreadsheetml/2011/1/ac" xmlns:mc="http://schemas.openxmlformats.org/markup-compatibility/2006">
        <mc:Choice Requires="x12ac">
          <x12ac:list>0,"0,5%",1%</x12ac:list>
        </mc:Choice>
        <mc:Fallback>
          <formula1>"0,0,5%,1%"</formula1>
        </mc:Fallback>
      </mc:AlternateContent>
    </dataValidation>
    <dataValidation type="list" allowBlank="1" showInputMessage="1" showErrorMessage="1" promptTitle="Projetista:" prompt="Selecionar caso a taxa de assistência técnica seja financiada_x000a_" sqref="I210" xr:uid="{8B570D4F-F9D1-4A9F-A8E9-585694FCA20F}">
      <mc:AlternateContent xmlns:x12ac="http://schemas.microsoft.com/office/spreadsheetml/2011/1/ac" xmlns:mc="http://schemas.openxmlformats.org/markup-compatibility/2006">
        <mc:Choice Requires="x12ac">
          <x12ac:list>0,"1,5%",4%</x12ac:list>
        </mc:Choice>
        <mc:Fallback>
          <formula1>"0,1,5%,4%"</formula1>
        </mc:Fallback>
      </mc:AlternateContent>
    </dataValidation>
    <dataValidation type="list" allowBlank="1" showInputMessage="1" showErrorMessage="1" sqref="D252" xr:uid="{5E48B89D-59C9-4F75-93B2-6AE1577746E3}">
      <formula1>"Pessoa Física,Pessoa Jurídica"</formula1>
    </dataValidation>
    <dataValidation type="list" allowBlank="1" showInputMessage="1" showErrorMessage="1" promptTitle="Projetista:" prompt="Verifique o nível de sobreposição antes de inserir a proposta, para evitar devoluções!" sqref="H47:I47" xr:uid="{149AE2FE-5889-4512-ABB9-F9B8B5EF9A9E}">
      <formula1>"até 5%, maior que 5%,não se aplica"</formula1>
    </dataValidation>
    <dataValidation type="list" allowBlank="1" showInputMessage="1" showErrorMessage="1" promptTitle="Projetista:" prompt="Imóveis em regime de comodato, parceria, meeiro e arrendamento não serão aceitas" sqref="D39:E39" xr:uid="{3B1C2838-C2B5-44C0-BED8-BFD0F6079E49}">
      <formula1>"Posseiro/Possuidor,Proprietário,Assentado"</formula1>
    </dataValidation>
    <dataValidation type="custom" allowBlank="1" showInputMessage="1" showErrorMessage="1" promptTitle="Atenção" prompt="Digite a data no formato DD/MM/AAAA!" sqref="C21:E21" xr:uid="{2BB9296C-6A05-4C1E-A982-2A677700F312}">
      <formula1>ISNUMBER(C21)</formula1>
    </dataValidation>
    <dataValidation type="custom" allowBlank="1" showInputMessage="1" showErrorMessage="1" promptTitle="Atenção" prompt="Digite apenas números!" sqref="H21:I21" xr:uid="{E083294B-3994-4257-A660-D984201304E9}">
      <formula1>ISNUMBER(H21)</formula1>
    </dataValidation>
    <dataValidation allowBlank="1" showInputMessage="1" showErrorMessage="1" promptTitle="Projetista:" prompt="Inserir a renda total da CAF do cliente!" sqref="D6:I6" xr:uid="{7A60898D-6C0C-4DB1-A449-046F9FB30967}"/>
    <dataValidation allowBlank="1" showInputMessage="1" showErrorMessage="1" promptTitle="Projetista:" prompt="Esse parâmetro deve ser seguido no quadro de receita!" sqref="H145:I145" xr:uid="{D9476F4E-DC80-4686-994F-9A9502E4684D}"/>
    <dataValidation allowBlank="1" showInputMessage="1" showErrorMessage="1" promptTitle="Projetista" prompt="Esse parâmetro deve ser seguido no quadro de Custos!" sqref="H171:I171" xr:uid="{4D58C7D6-FD0D-43F4-A58E-E7AE9E242622}"/>
    <dataValidation allowBlank="1" showInputMessage="1" showErrorMessage="1" promptTitle="Projetista:" prompt="Verificar se o valor está de acordo com parâmetro de custos" sqref="H170:I171" xr:uid="{C5919513-5E0B-4904-A204-58090362D2A5}"/>
    <dataValidation allowBlank="1" showInputMessage="1" showErrorMessage="1" promptTitle="Projetista:" prompt="Verificar se o valor está de acordo com o parâmetro de receitas" sqref="H144:I144" xr:uid="{D258671F-C101-41BD-A476-54F5A8AA572D}"/>
    <dataValidation type="list" allowBlank="1" showInputMessage="1" showErrorMessage="1" sqref="D8:I8" xr:uid="{AE624AE9-351B-4A87-8F33-1A626CDC1F37}">
      <formula1>"Indígenas,Quilombolas,Comunidades Tradicionais,Assentados,Extrativistas,Outros"</formula1>
    </dataValidation>
    <dataValidation type="list" allowBlank="1" showInputMessage="1" showErrorMessage="1" sqref="D9:I9" xr:uid="{7FACB74A-7608-44B0-B88D-0FA5CC65B4E3}">
      <formula1>"Solteiro,Casado,Divorciado,União Estável,Separado,Viúvo"</formula1>
    </dataValidation>
  </dataValidations>
  <printOptions horizontalCentered="1"/>
  <pageMargins left="0.51181102362204722" right="0.51181102362204722" top="0.78740157480314965" bottom="0.78740157480314965" header="0.31496062992125984" footer="0.31496062992125984"/>
  <pageSetup paperSize="9" scale="93" fitToHeight="0" orientation="portrait" cellComments="atEnd" verticalDpi="599" r:id="rId1"/>
  <headerFooter>
    <oddHeader>&amp;L&amp;D&amp;RVersão 3.1 (27/06/2025)</oddHeader>
    <oddFooter>&amp;CAssinatura Projetista&amp;LAssinatura Proponente&amp;RPágina &amp;P de &amp;N</oddFooter>
  </headerFooter>
  <rowBreaks count="8" manualBreakCount="8">
    <brk id="48" min="1" max="8" man="1"/>
    <brk id="93" min="1" max="8" man="1"/>
    <brk id="130" min="1" max="8" man="1"/>
    <brk id="174" min="1" max="8" man="1"/>
    <brk id="221" min="1" max="8" man="1"/>
    <brk id="257" min="1" max="8" man="1"/>
    <brk id="291" min="1" max="8" man="1"/>
    <brk id="337" min="1" max="8" man="1"/>
  </rowBreaks>
  <ignoredErrors>
    <ignoredError sqref="H162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E36E5E5-06B9-4111-899D-CB9D793A2915}">
          <x14:formula1>
            <xm:f>Dados!$A$2:$A$60</xm:f>
          </x14:formula1>
          <xm:sqref>G81:I81</xm:sqref>
        </x14:dataValidation>
        <x14:dataValidation type="list" allowBlank="1" showInputMessage="1" showErrorMessage="1" xr:uid="{A12084BE-E82F-427B-8213-D035C035F961}">
          <x14:formula1>
            <xm:f>Dados!$C$2:$C$12</xm:f>
          </x14:formula1>
          <xm:sqref>D24:E32</xm:sqref>
        </x14:dataValidation>
        <x14:dataValidation type="list" allowBlank="1" showInputMessage="1" showErrorMessage="1" xr:uid="{1CBF69E4-80DA-49FE-A432-8D8221D3B746}">
          <x14:formula1>
            <xm:f>Dados!$E$2:$E$34</xm:f>
          </x14:formula1>
          <xm:sqref>D135:D143</xm:sqref>
        </x14:dataValidation>
        <x14:dataValidation type="list" allowBlank="1" showInputMessage="1" showErrorMessage="1" xr:uid="{1DB2CF34-95D9-4319-9732-BC745AA910C5}">
          <x14:formula1>
            <xm:f>Dados!$K$2:$K$3</xm:f>
          </x14:formula1>
          <xm:sqref>I219</xm:sqref>
        </x14:dataValidation>
        <x14:dataValidation type="list" allowBlank="1" showInputMessage="1" showErrorMessage="1" xr:uid="{86506817-7729-4F98-879A-5A477AF0BA71}">
          <x14:formula1>
            <xm:f>Dados!$M$2:$M$3</xm:f>
          </x14:formula1>
          <xm:sqref>I220</xm:sqref>
        </x14:dataValidation>
        <x14:dataValidation type="list" allowBlank="1" showInputMessage="1" showErrorMessage="1" xr:uid="{D4972289-F62B-492A-AF4D-39BB634337C2}">
          <x14:formula1>
            <xm:f>Dados!$E$2:$E$37</xm:f>
          </x14:formula1>
          <xm:sqref>F179:F190 F194:F205</xm:sqref>
        </x14:dataValidation>
        <x14:dataValidation type="list" allowBlank="1" showInputMessage="1" showErrorMessage="1" xr:uid="{A791066A-C9A6-411D-894E-32D6699411F3}">
          <x14:formula1>
            <xm:f>Dados!$O$2:$O$23</xm:f>
          </x14:formula1>
          <xm:sqref>E215:I215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0D28B-5DFF-47A1-AE78-845F7E03EAAD}">
  <sheetPr codeName="Planilha4"/>
  <dimension ref="A1:R59"/>
  <sheetViews>
    <sheetView showGridLines="0" topLeftCell="D1" workbookViewId="0">
      <selection activeCell="O23" sqref="O23"/>
    </sheetView>
  </sheetViews>
  <sheetFormatPr defaultRowHeight="15" x14ac:dyDescent="0.25"/>
  <cols>
    <col min="1" max="1" width="18.42578125" bestFit="1" customWidth="1"/>
    <col min="3" max="3" width="46.140625" customWidth="1"/>
    <col min="9" max="9" width="13.42578125" bestFit="1" customWidth="1"/>
    <col min="15" max="15" width="70.85546875" bestFit="1" customWidth="1"/>
    <col min="17" max="17" width="12.42578125" bestFit="1" customWidth="1"/>
    <col min="18" max="18" width="8.85546875" bestFit="1" customWidth="1"/>
  </cols>
  <sheetData>
    <row r="1" spans="1:18" x14ac:dyDescent="0.25">
      <c r="A1" t="s">
        <v>163</v>
      </c>
      <c r="C1" t="s">
        <v>149</v>
      </c>
      <c r="E1" t="s">
        <v>188</v>
      </c>
      <c r="G1" t="s">
        <v>221</v>
      </c>
      <c r="I1" t="s">
        <v>222</v>
      </c>
      <c r="K1" t="s">
        <v>42</v>
      </c>
      <c r="M1" t="s">
        <v>230</v>
      </c>
      <c r="O1" s="41" t="s">
        <v>284</v>
      </c>
      <c r="P1" s="41" t="s">
        <v>285</v>
      </c>
      <c r="Q1" s="41" t="s">
        <v>286</v>
      </c>
      <c r="R1" s="41" t="s">
        <v>287</v>
      </c>
    </row>
    <row r="2" spans="1:18" ht="17.25" x14ac:dyDescent="0.3">
      <c r="A2" s="3" t="s">
        <v>87</v>
      </c>
      <c r="C2" s="4" t="s">
        <v>166</v>
      </c>
      <c r="E2" t="s">
        <v>177</v>
      </c>
      <c r="G2">
        <v>1</v>
      </c>
      <c r="I2" t="s">
        <v>223</v>
      </c>
      <c r="K2" t="s">
        <v>228</v>
      </c>
      <c r="M2" t="s">
        <v>231</v>
      </c>
      <c r="O2" s="42" t="s">
        <v>288</v>
      </c>
      <c r="P2" s="42">
        <v>12</v>
      </c>
      <c r="Q2" s="42" t="s">
        <v>227</v>
      </c>
      <c r="R2" s="42">
        <v>1</v>
      </c>
    </row>
    <row r="3" spans="1:18" ht="17.25" x14ac:dyDescent="0.25">
      <c r="A3" t="s">
        <v>88</v>
      </c>
      <c r="C3" s="4" t="s">
        <v>167</v>
      </c>
      <c r="E3" t="s">
        <v>178</v>
      </c>
      <c r="G3">
        <v>2</v>
      </c>
      <c r="I3" t="s">
        <v>224</v>
      </c>
      <c r="K3" t="s">
        <v>229</v>
      </c>
      <c r="M3" t="s">
        <v>232</v>
      </c>
      <c r="O3" s="42" t="s">
        <v>289</v>
      </c>
      <c r="P3" s="42">
        <v>0</v>
      </c>
      <c r="Q3" s="42" t="s">
        <v>227</v>
      </c>
      <c r="R3" s="42">
        <v>1</v>
      </c>
    </row>
    <row r="4" spans="1:18" ht="17.25" x14ac:dyDescent="0.25">
      <c r="A4" t="s">
        <v>89</v>
      </c>
      <c r="C4" s="4" t="s">
        <v>168</v>
      </c>
      <c r="E4" t="s">
        <v>179</v>
      </c>
      <c r="G4">
        <v>3</v>
      </c>
      <c r="I4" t="s">
        <v>225</v>
      </c>
      <c r="O4" s="42" t="s">
        <v>290</v>
      </c>
      <c r="P4" s="42">
        <v>0</v>
      </c>
      <c r="Q4" s="42" t="s">
        <v>227</v>
      </c>
      <c r="R4" s="42">
        <v>2</v>
      </c>
    </row>
    <row r="5" spans="1:18" ht="17.25" x14ac:dyDescent="0.25">
      <c r="A5" t="s">
        <v>90</v>
      </c>
      <c r="C5" s="4" t="s">
        <v>169</v>
      </c>
      <c r="E5" t="s">
        <v>180</v>
      </c>
      <c r="G5">
        <v>4</v>
      </c>
      <c r="I5" t="s">
        <v>224</v>
      </c>
      <c r="O5" s="42" t="s">
        <v>291</v>
      </c>
      <c r="P5" s="42">
        <v>0</v>
      </c>
      <c r="Q5" s="42" t="s">
        <v>227</v>
      </c>
      <c r="R5" s="42">
        <v>1</v>
      </c>
    </row>
    <row r="6" spans="1:18" ht="17.25" x14ac:dyDescent="0.25">
      <c r="A6" t="s">
        <v>91</v>
      </c>
      <c r="C6" s="4" t="s">
        <v>83</v>
      </c>
      <c r="E6" t="s">
        <v>181</v>
      </c>
      <c r="G6">
        <v>5</v>
      </c>
      <c r="I6" t="s">
        <v>226</v>
      </c>
      <c r="O6" s="42" t="s">
        <v>329</v>
      </c>
      <c r="P6" s="42">
        <v>12</v>
      </c>
      <c r="Q6" s="42" t="s">
        <v>227</v>
      </c>
      <c r="R6" s="42">
        <v>1</v>
      </c>
    </row>
    <row r="7" spans="1:18" ht="17.25" x14ac:dyDescent="0.25">
      <c r="A7" t="s">
        <v>92</v>
      </c>
      <c r="C7" s="4" t="s">
        <v>170</v>
      </c>
      <c r="E7" t="s">
        <v>182</v>
      </c>
      <c r="G7">
        <v>6</v>
      </c>
      <c r="I7" t="s">
        <v>227</v>
      </c>
      <c r="O7" s="42" t="s">
        <v>113</v>
      </c>
      <c r="P7" s="42">
        <v>6</v>
      </c>
      <c r="Q7" s="42" t="s">
        <v>225</v>
      </c>
      <c r="R7" s="42">
        <v>2</v>
      </c>
    </row>
    <row r="8" spans="1:18" ht="17.25" x14ac:dyDescent="0.25">
      <c r="A8" t="s">
        <v>93</v>
      </c>
      <c r="C8" s="4" t="s">
        <v>171</v>
      </c>
      <c r="E8" t="s">
        <v>183</v>
      </c>
      <c r="G8">
        <v>7</v>
      </c>
      <c r="O8" s="42" t="s">
        <v>292</v>
      </c>
      <c r="P8" s="42">
        <v>0</v>
      </c>
      <c r="Q8" s="42" t="s">
        <v>227</v>
      </c>
      <c r="R8" s="42">
        <v>1</v>
      </c>
    </row>
    <row r="9" spans="1:18" ht="17.25" x14ac:dyDescent="0.25">
      <c r="A9" t="s">
        <v>94</v>
      </c>
      <c r="C9" s="4" t="s">
        <v>172</v>
      </c>
      <c r="E9" t="s">
        <v>184</v>
      </c>
      <c r="G9">
        <v>8</v>
      </c>
      <c r="O9" s="42" t="s">
        <v>333</v>
      </c>
      <c r="P9" s="42">
        <v>0</v>
      </c>
      <c r="Q9" s="42" t="s">
        <v>227</v>
      </c>
      <c r="R9" s="42">
        <v>1</v>
      </c>
    </row>
    <row r="10" spans="1:18" ht="17.25" x14ac:dyDescent="0.25">
      <c r="A10" t="s">
        <v>95</v>
      </c>
      <c r="C10" s="4" t="s">
        <v>173</v>
      </c>
      <c r="E10" t="s">
        <v>185</v>
      </c>
      <c r="G10">
        <v>9</v>
      </c>
      <c r="O10" s="42" t="s">
        <v>327</v>
      </c>
      <c r="P10" s="42">
        <v>0</v>
      </c>
      <c r="Q10" s="42" t="s">
        <v>226</v>
      </c>
      <c r="R10" s="42">
        <v>2</v>
      </c>
    </row>
    <row r="11" spans="1:18" ht="17.25" x14ac:dyDescent="0.25">
      <c r="A11" t="s">
        <v>96</v>
      </c>
      <c r="C11" s="4" t="s">
        <v>174</v>
      </c>
      <c r="E11" t="s">
        <v>186</v>
      </c>
      <c r="G11">
        <v>10</v>
      </c>
      <c r="O11" s="42" t="s">
        <v>299</v>
      </c>
      <c r="P11" s="42">
        <v>0</v>
      </c>
      <c r="Q11" s="42" t="s">
        <v>227</v>
      </c>
      <c r="R11" s="42">
        <v>1</v>
      </c>
    </row>
    <row r="12" spans="1:18" ht="17.25" x14ac:dyDescent="0.25">
      <c r="A12" t="s">
        <v>97</v>
      </c>
      <c r="C12" s="4" t="s">
        <v>175</v>
      </c>
      <c r="E12" t="s">
        <v>187</v>
      </c>
      <c r="G12">
        <v>11</v>
      </c>
      <c r="O12" s="42" t="s">
        <v>328</v>
      </c>
      <c r="P12" s="42">
        <v>0</v>
      </c>
      <c r="Q12" s="42" t="s">
        <v>227</v>
      </c>
      <c r="R12" s="42">
        <v>1</v>
      </c>
    </row>
    <row r="13" spans="1:18" x14ac:dyDescent="0.25">
      <c r="A13" t="s">
        <v>141</v>
      </c>
      <c r="E13" t="s">
        <v>188</v>
      </c>
      <c r="G13">
        <v>12</v>
      </c>
      <c r="O13" s="42" t="s">
        <v>331</v>
      </c>
      <c r="P13" s="42">
        <v>0</v>
      </c>
      <c r="Q13" s="42" t="s">
        <v>226</v>
      </c>
      <c r="R13" s="42">
        <v>2</v>
      </c>
    </row>
    <row r="14" spans="1:18" x14ac:dyDescent="0.25">
      <c r="A14" t="s">
        <v>98</v>
      </c>
      <c r="E14" t="s">
        <v>189</v>
      </c>
      <c r="G14">
        <v>13</v>
      </c>
      <c r="O14" s="42" t="s">
        <v>332</v>
      </c>
      <c r="P14" s="42">
        <v>0</v>
      </c>
      <c r="Q14" s="42" t="s">
        <v>226</v>
      </c>
      <c r="R14" s="42">
        <v>2</v>
      </c>
    </row>
    <row r="15" spans="1:18" x14ac:dyDescent="0.25">
      <c r="A15" t="s">
        <v>99</v>
      </c>
      <c r="E15" t="s">
        <v>190</v>
      </c>
      <c r="G15">
        <v>14</v>
      </c>
      <c r="O15" s="42" t="s">
        <v>335</v>
      </c>
      <c r="P15" s="42">
        <v>0</v>
      </c>
      <c r="Q15" s="42" t="s">
        <v>227</v>
      </c>
      <c r="R15" s="42">
        <v>1</v>
      </c>
    </row>
    <row r="16" spans="1:18" x14ac:dyDescent="0.25">
      <c r="A16" t="s">
        <v>100</v>
      </c>
      <c r="E16" t="s">
        <v>191</v>
      </c>
      <c r="G16">
        <v>15</v>
      </c>
      <c r="O16" s="42" t="s">
        <v>336</v>
      </c>
      <c r="P16" s="42">
        <v>0</v>
      </c>
      <c r="Q16" s="42" t="s">
        <v>227</v>
      </c>
      <c r="R16" s="42">
        <v>1</v>
      </c>
    </row>
    <row r="17" spans="1:18" x14ac:dyDescent="0.25">
      <c r="A17" t="s">
        <v>101</v>
      </c>
      <c r="E17" t="s">
        <v>192</v>
      </c>
      <c r="G17">
        <v>16</v>
      </c>
      <c r="O17" s="42" t="s">
        <v>293</v>
      </c>
      <c r="P17" s="42">
        <v>0</v>
      </c>
      <c r="Q17" s="42" t="s">
        <v>227</v>
      </c>
      <c r="R17" s="42">
        <v>3</v>
      </c>
    </row>
    <row r="18" spans="1:18" x14ac:dyDescent="0.25">
      <c r="A18" t="s">
        <v>102</v>
      </c>
      <c r="E18" t="s">
        <v>193</v>
      </c>
      <c r="G18">
        <v>17</v>
      </c>
      <c r="O18" s="42" t="s">
        <v>294</v>
      </c>
      <c r="P18" s="42">
        <v>12</v>
      </c>
      <c r="Q18" s="42" t="s">
        <v>227</v>
      </c>
      <c r="R18" s="42">
        <v>2</v>
      </c>
    </row>
    <row r="19" spans="1:18" x14ac:dyDescent="0.25">
      <c r="A19" t="s">
        <v>103</v>
      </c>
      <c r="E19" t="s">
        <v>194</v>
      </c>
      <c r="G19">
        <v>18</v>
      </c>
      <c r="O19" s="42" t="s">
        <v>298</v>
      </c>
      <c r="P19" s="42">
        <v>0</v>
      </c>
      <c r="Q19" s="42" t="s">
        <v>227</v>
      </c>
      <c r="R19" s="42">
        <v>3</v>
      </c>
    </row>
    <row r="20" spans="1:18" x14ac:dyDescent="0.25">
      <c r="A20" t="s">
        <v>104</v>
      </c>
      <c r="E20" t="s">
        <v>195</v>
      </c>
      <c r="G20">
        <v>19</v>
      </c>
      <c r="O20" s="42" t="s">
        <v>330</v>
      </c>
      <c r="P20" s="42">
        <v>12</v>
      </c>
      <c r="Q20" s="42" t="s">
        <v>226</v>
      </c>
      <c r="R20" s="42">
        <v>4</v>
      </c>
    </row>
    <row r="21" spans="1:18" x14ac:dyDescent="0.25">
      <c r="A21" t="s">
        <v>105</v>
      </c>
      <c r="E21" t="s">
        <v>196</v>
      </c>
      <c r="G21">
        <v>20</v>
      </c>
      <c r="O21" s="42" t="s">
        <v>334</v>
      </c>
      <c r="P21" s="42">
        <v>0</v>
      </c>
      <c r="Q21" s="42" t="s">
        <v>227</v>
      </c>
      <c r="R21" s="42">
        <v>3</v>
      </c>
    </row>
    <row r="22" spans="1:18" x14ac:dyDescent="0.25">
      <c r="A22" t="s">
        <v>106</v>
      </c>
      <c r="E22" t="s">
        <v>197</v>
      </c>
      <c r="G22">
        <v>21</v>
      </c>
      <c r="O22" s="42" t="s">
        <v>384</v>
      </c>
      <c r="P22" s="42">
        <v>0</v>
      </c>
      <c r="Q22" s="42" t="s">
        <v>227</v>
      </c>
      <c r="R22" s="42">
        <v>3</v>
      </c>
    </row>
    <row r="23" spans="1:18" x14ac:dyDescent="0.25">
      <c r="A23" t="s">
        <v>107</v>
      </c>
      <c r="E23" t="s">
        <v>198</v>
      </c>
      <c r="G23">
        <v>22</v>
      </c>
      <c r="O23" s="42" t="s">
        <v>385</v>
      </c>
      <c r="P23" s="42">
        <v>0</v>
      </c>
      <c r="Q23" s="42" t="s">
        <v>223</v>
      </c>
      <c r="R23" s="42">
        <v>36</v>
      </c>
    </row>
    <row r="24" spans="1:18" x14ac:dyDescent="0.25">
      <c r="A24" t="s">
        <v>108</v>
      </c>
      <c r="E24" t="s">
        <v>199</v>
      </c>
      <c r="G24">
        <v>23</v>
      </c>
    </row>
    <row r="25" spans="1:18" x14ac:dyDescent="0.25">
      <c r="A25" t="s">
        <v>109</v>
      </c>
      <c r="E25" t="s">
        <v>200</v>
      </c>
      <c r="G25">
        <v>24</v>
      </c>
    </row>
    <row r="26" spans="1:18" x14ac:dyDescent="0.25">
      <c r="A26" t="s">
        <v>110</v>
      </c>
      <c r="E26" t="s">
        <v>201</v>
      </c>
      <c r="G26">
        <v>25</v>
      </c>
    </row>
    <row r="27" spans="1:18" x14ac:dyDescent="0.25">
      <c r="A27" t="s">
        <v>111</v>
      </c>
      <c r="E27" t="s">
        <v>202</v>
      </c>
      <c r="G27">
        <v>26</v>
      </c>
    </row>
    <row r="28" spans="1:18" x14ac:dyDescent="0.25">
      <c r="A28" t="s">
        <v>112</v>
      </c>
      <c r="E28" t="s">
        <v>203</v>
      </c>
      <c r="G28">
        <v>27</v>
      </c>
    </row>
    <row r="29" spans="1:18" x14ac:dyDescent="0.25">
      <c r="A29" t="s">
        <v>113</v>
      </c>
      <c r="E29" t="s">
        <v>204</v>
      </c>
      <c r="G29">
        <v>28</v>
      </c>
    </row>
    <row r="30" spans="1:18" x14ac:dyDescent="0.25">
      <c r="A30" t="s">
        <v>114</v>
      </c>
      <c r="E30" t="s">
        <v>205</v>
      </c>
      <c r="G30">
        <v>29</v>
      </c>
    </row>
    <row r="31" spans="1:18" x14ac:dyDescent="0.25">
      <c r="A31" t="s">
        <v>115</v>
      </c>
      <c r="E31" t="s">
        <v>206</v>
      </c>
      <c r="G31">
        <v>30</v>
      </c>
    </row>
    <row r="32" spans="1:18" x14ac:dyDescent="0.25">
      <c r="A32" t="s">
        <v>116</v>
      </c>
      <c r="E32" t="s">
        <v>207</v>
      </c>
      <c r="G32">
        <v>31</v>
      </c>
    </row>
    <row r="33" spans="1:7" x14ac:dyDescent="0.25">
      <c r="A33" t="s">
        <v>117</v>
      </c>
      <c r="E33" t="s">
        <v>208</v>
      </c>
      <c r="G33">
        <v>32</v>
      </c>
    </row>
    <row r="34" spans="1:7" x14ac:dyDescent="0.25">
      <c r="A34" t="s">
        <v>118</v>
      </c>
      <c r="E34" t="s">
        <v>209</v>
      </c>
      <c r="G34">
        <v>33</v>
      </c>
    </row>
    <row r="35" spans="1:7" x14ac:dyDescent="0.25">
      <c r="A35" t="s">
        <v>119</v>
      </c>
      <c r="E35" t="s">
        <v>295</v>
      </c>
      <c r="G35">
        <v>34</v>
      </c>
    </row>
    <row r="36" spans="1:7" x14ac:dyDescent="0.25">
      <c r="A36" t="s">
        <v>144</v>
      </c>
      <c r="E36" t="s">
        <v>297</v>
      </c>
      <c r="G36">
        <v>35</v>
      </c>
    </row>
    <row r="37" spans="1:7" x14ac:dyDescent="0.25">
      <c r="A37" t="s">
        <v>120</v>
      </c>
      <c r="E37" t="s">
        <v>296</v>
      </c>
      <c r="G37">
        <v>36</v>
      </c>
    </row>
    <row r="38" spans="1:7" x14ac:dyDescent="0.25">
      <c r="A38" t="s">
        <v>121</v>
      </c>
    </row>
    <row r="39" spans="1:7" x14ac:dyDescent="0.25">
      <c r="A39" t="s">
        <v>122</v>
      </c>
    </row>
    <row r="40" spans="1:7" x14ac:dyDescent="0.25">
      <c r="A40" t="s">
        <v>123</v>
      </c>
    </row>
    <row r="41" spans="1:7" x14ac:dyDescent="0.25">
      <c r="A41" t="s">
        <v>18</v>
      </c>
    </row>
    <row r="42" spans="1:7" x14ac:dyDescent="0.25">
      <c r="A42" t="s">
        <v>124</v>
      </c>
    </row>
    <row r="43" spans="1:7" x14ac:dyDescent="0.25">
      <c r="A43" t="s">
        <v>125</v>
      </c>
    </row>
    <row r="44" spans="1:7" x14ac:dyDescent="0.25">
      <c r="A44" t="s">
        <v>126</v>
      </c>
    </row>
    <row r="45" spans="1:7" x14ac:dyDescent="0.25">
      <c r="A45" t="s">
        <v>127</v>
      </c>
    </row>
    <row r="46" spans="1:7" x14ac:dyDescent="0.25">
      <c r="A46" t="s">
        <v>128</v>
      </c>
    </row>
    <row r="47" spans="1:7" x14ac:dyDescent="0.25">
      <c r="A47" t="s">
        <v>129</v>
      </c>
    </row>
    <row r="48" spans="1:7" x14ac:dyDescent="0.25">
      <c r="A48" t="s">
        <v>130</v>
      </c>
    </row>
    <row r="49" spans="1:1" x14ac:dyDescent="0.25">
      <c r="A49" t="s">
        <v>131</v>
      </c>
    </row>
    <row r="50" spans="1:1" x14ac:dyDescent="0.25">
      <c r="A50" t="s">
        <v>132</v>
      </c>
    </row>
    <row r="51" spans="1:1" x14ac:dyDescent="0.25">
      <c r="A51" t="s">
        <v>133</v>
      </c>
    </row>
    <row r="52" spans="1:1" x14ac:dyDescent="0.25">
      <c r="A52" t="s">
        <v>134</v>
      </c>
    </row>
    <row r="53" spans="1:1" x14ac:dyDescent="0.25">
      <c r="A53" t="s">
        <v>135</v>
      </c>
    </row>
    <row r="54" spans="1:1" x14ac:dyDescent="0.25">
      <c r="A54" t="s">
        <v>136</v>
      </c>
    </row>
    <row r="55" spans="1:1" x14ac:dyDescent="0.25">
      <c r="A55" t="s">
        <v>137</v>
      </c>
    </row>
    <row r="56" spans="1:1" x14ac:dyDescent="0.25">
      <c r="A56" t="s">
        <v>138</v>
      </c>
    </row>
    <row r="57" spans="1:1" x14ac:dyDescent="0.25">
      <c r="A57" t="s">
        <v>84</v>
      </c>
    </row>
    <row r="58" spans="1:1" x14ac:dyDescent="0.25">
      <c r="A58" t="s">
        <v>139</v>
      </c>
    </row>
    <row r="59" spans="1:1" x14ac:dyDescent="0.25">
      <c r="A59" t="s">
        <v>140</v>
      </c>
    </row>
  </sheetData>
  <sheetProtection algorithmName="SHA-512" hashValue="tDULcKzvMq6WG/nPCaP/V6VToJXoq5n4bEpxE9BdREENTKlzdurxaGbl6QmDQCrzSih8yKPz8cErUa4VJibgcw==" saltValue="6F6mhRMhRt3zYktNAH3orQ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Instruções</vt:lpstr>
      <vt:lpstr>Levantamento</vt:lpstr>
      <vt:lpstr>Dados</vt:lpstr>
      <vt:lpstr>Levantamento!Area_de_impressao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Raimundo de Almeida Pantoja Neto</dc:creator>
  <cp:lastModifiedBy>Nicole Raquel Pinto Cardoso de Carvalho</cp:lastModifiedBy>
  <cp:lastPrinted>2025-08-28T12:44:43Z</cp:lastPrinted>
  <dcterms:created xsi:type="dcterms:W3CDTF">2025-04-03T17:12:51Z</dcterms:created>
  <dcterms:modified xsi:type="dcterms:W3CDTF">2026-05-11T18:15:29Z</dcterms:modified>
</cp:coreProperties>
</file>